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defaultThemeVersion="124226"/>
  <mc:AlternateContent xmlns:mc="http://schemas.openxmlformats.org/markup-compatibility/2006">
    <mc:Choice Requires="x15">
      <x15ac:absPath xmlns:x15ac="http://schemas.microsoft.com/office/spreadsheetml/2010/11/ac" url="Z:\Ajay's Websites and Graphics\Harry Gwala District Municipality\Website Changes 2019\April\Budget Documents - 04042019\"/>
    </mc:Choice>
  </mc:AlternateContent>
  <xr:revisionPtr revIDLastSave="0" documentId="8_{85869E4A-51A9-408B-9199-78FE8623F824}" xr6:coauthVersionLast="36" xr6:coauthVersionMax="36" xr10:uidLastSave="{00000000-0000-0000-0000-000000000000}"/>
  <workbookProtection workbookAlgorithmName="SHA-512" workbookHashValue="YgoC1P0e7fq7i5WlpKAuhcLf7wTxWxP6XgTesiNY+7RPzzVEYce/Q5GXlaAggdhb6ZlcoE94TaLZKVm3C9K95w==" workbookSaltValue="5tFm+avFaLfkfHJcidw+Xw==" workbookSpinCount="100000" lockStructure="1"/>
  <bookViews>
    <workbookView xWindow="0" yWindow="0" windowWidth="21570" windowHeight="7980" tabRatio="905" activeTab="6" xr2:uid="{00000000-000D-0000-FFFF-FFFF00000000}"/>
  </bookViews>
  <sheets>
    <sheet name="START" sheetId="337" r:id="rId1"/>
    <sheet name="Template names" sheetId="100" state="veryHidden" r:id="rId2"/>
    <sheet name="Lookup and lists" sheetId="333" state="veryHidden" r:id="rId3"/>
    <sheet name="Instructions" sheetId="338" r:id="rId4"/>
    <sheet name="Lookup and lists (2)" sheetId="346" state="veryHidden" r:id="rId5"/>
    <sheet name="D1-Sum" sheetId="279" r:id="rId6"/>
    <sheet name="D2-FinPerf" sheetId="65" r:id="rId7"/>
    <sheet name="D3-Capex" sheetId="202" r:id="rId8"/>
    <sheet name="D4-FinPos" sheetId="201" r:id="rId9"/>
    <sheet name="D5-CFlow" sheetId="200" r:id="rId10"/>
    <sheet name="SD1" sheetId="199" r:id="rId11"/>
    <sheet name="SD2" sheetId="198" r:id="rId12"/>
    <sheet name="SD3" sheetId="243" r:id="rId13"/>
    <sheet name="SD4" sheetId="285" r:id="rId14"/>
    <sheet name="SD5" sheetId="336" r:id="rId15"/>
    <sheet name="SD6" sheetId="204" r:id="rId16"/>
    <sheet name="SD7a" sheetId="284" r:id="rId17"/>
    <sheet name="SD7b" sheetId="341" r:id="rId18"/>
    <sheet name="SD7c" sheetId="342" r:id="rId19"/>
    <sheet name="SD7d" sheetId="344" r:id="rId20"/>
    <sheet name="SD7e" sheetId="343" r:id="rId21"/>
    <sheet name="SD8" sheetId="330" r:id="rId22"/>
    <sheet name="SD9" sheetId="329" r:id="rId23"/>
    <sheet name="SD10" sheetId="282" r:id="rId24"/>
  </sheets>
  <externalReferences>
    <externalReference r:id="rId25"/>
    <externalReference r:id="rId26"/>
    <externalReference r:id="rId27"/>
    <externalReference r:id="rId28"/>
    <externalReference r:id="rId29"/>
  </externalReferences>
  <definedNames>
    <definedName name="_ADJ1" localSheetId="3">'[1]Template names'!#REF!</definedName>
    <definedName name="_ADJ1" localSheetId="17">'Template names'!#REF!</definedName>
    <definedName name="_ADJ1" localSheetId="18">'Template names'!#REF!</definedName>
    <definedName name="_ADJ1" localSheetId="19">'Template names'!#REF!</definedName>
    <definedName name="_ADJ1" localSheetId="20">'Template names'!#REF!</definedName>
    <definedName name="_ADJ1">'Template names'!#REF!</definedName>
    <definedName name="_ADJ10" localSheetId="3">'[1]Template names'!#REF!</definedName>
    <definedName name="_ADJ10" localSheetId="17">'Template names'!#REF!</definedName>
    <definedName name="_ADJ10" localSheetId="18">'Template names'!#REF!</definedName>
    <definedName name="_ADJ10" localSheetId="19">'Template names'!#REF!</definedName>
    <definedName name="_ADJ10" localSheetId="20">'Template names'!#REF!</definedName>
    <definedName name="_ADJ10">'Template names'!#REF!</definedName>
    <definedName name="_ADJ11" localSheetId="3">'[1]Template names'!#REF!</definedName>
    <definedName name="_ADJ11" localSheetId="17">'Template names'!#REF!</definedName>
    <definedName name="_ADJ11" localSheetId="18">'Template names'!#REF!</definedName>
    <definedName name="_ADJ11" localSheetId="19">'Template names'!#REF!</definedName>
    <definedName name="_ADJ11" localSheetId="20">'Template names'!#REF!</definedName>
    <definedName name="_ADJ11">'Template names'!#REF!</definedName>
    <definedName name="_ADJ12" localSheetId="3">'[1]Template names'!#REF!</definedName>
    <definedName name="_ADJ12" localSheetId="17">'Template names'!#REF!</definedName>
    <definedName name="_ADJ12" localSheetId="18">'Template names'!#REF!</definedName>
    <definedName name="_ADJ12" localSheetId="19">'Template names'!#REF!</definedName>
    <definedName name="_ADJ12" localSheetId="20">'Template names'!#REF!</definedName>
    <definedName name="_ADJ12">'Template names'!#REF!</definedName>
    <definedName name="_ADJ13" localSheetId="3">'[1]Template names'!#REF!</definedName>
    <definedName name="_ADJ13" localSheetId="17">'Template names'!#REF!</definedName>
    <definedName name="_ADJ13" localSheetId="18">'Template names'!#REF!</definedName>
    <definedName name="_ADJ13" localSheetId="19">'Template names'!#REF!</definedName>
    <definedName name="_ADJ13" localSheetId="20">'Template names'!#REF!</definedName>
    <definedName name="_ADJ13">'Template names'!#REF!</definedName>
    <definedName name="_ADJ14" localSheetId="3">'[1]Template names'!#REF!</definedName>
    <definedName name="_ADJ14" localSheetId="17">'Template names'!#REF!</definedName>
    <definedName name="_ADJ14" localSheetId="18">'Template names'!#REF!</definedName>
    <definedName name="_ADJ14" localSheetId="19">'Template names'!#REF!</definedName>
    <definedName name="_ADJ14" localSheetId="20">'Template names'!#REF!</definedName>
    <definedName name="_ADJ14">'Template names'!#REF!</definedName>
    <definedName name="_ADJ16" localSheetId="3">'[1]Template names'!#REF!</definedName>
    <definedName name="_ADJ16" localSheetId="17">'Template names'!#REF!</definedName>
    <definedName name="_ADJ16" localSheetId="18">'Template names'!#REF!</definedName>
    <definedName name="_ADJ16" localSheetId="19">'Template names'!#REF!</definedName>
    <definedName name="_ADJ16" localSheetId="20">'Template names'!#REF!</definedName>
    <definedName name="_ADJ16">'Template names'!#REF!</definedName>
    <definedName name="_ADJ17" localSheetId="3">'[1]Template names'!#REF!</definedName>
    <definedName name="_ADJ17" localSheetId="17">'Template names'!#REF!</definedName>
    <definedName name="_ADJ17" localSheetId="18">'Template names'!#REF!</definedName>
    <definedName name="_ADJ17" localSheetId="19">'Template names'!#REF!</definedName>
    <definedName name="_ADJ17" localSheetId="20">'Template names'!#REF!</definedName>
    <definedName name="_ADJ17">'Template names'!#REF!</definedName>
    <definedName name="_ADJ18" localSheetId="3">'[1]Template names'!#REF!</definedName>
    <definedName name="_ADJ18" localSheetId="17">'Template names'!#REF!</definedName>
    <definedName name="_ADJ18" localSheetId="18">'Template names'!#REF!</definedName>
    <definedName name="_ADJ18" localSheetId="19">'Template names'!#REF!</definedName>
    <definedName name="_ADJ18" localSheetId="20">'Template names'!#REF!</definedName>
    <definedName name="_ADJ18">'Template names'!#REF!</definedName>
    <definedName name="_ADJ19" localSheetId="3">'[1]Template names'!#REF!</definedName>
    <definedName name="_ADJ19" localSheetId="17">'Template names'!#REF!</definedName>
    <definedName name="_ADJ19" localSheetId="18">'Template names'!#REF!</definedName>
    <definedName name="_ADJ19" localSheetId="19">'Template names'!#REF!</definedName>
    <definedName name="_ADJ19" localSheetId="20">'Template names'!#REF!</definedName>
    <definedName name="_ADJ19">'Template names'!#REF!</definedName>
    <definedName name="_ADJ2" localSheetId="3">'[1]Template names'!#REF!</definedName>
    <definedName name="_ADJ2" localSheetId="17">'Template names'!#REF!</definedName>
    <definedName name="_ADJ2" localSheetId="18">'Template names'!#REF!</definedName>
    <definedName name="_ADJ2" localSheetId="19">'Template names'!#REF!</definedName>
    <definedName name="_ADJ2" localSheetId="20">'Template names'!#REF!</definedName>
    <definedName name="_ADJ2">'Template names'!#REF!</definedName>
    <definedName name="_ADJ3" localSheetId="3">'[1]Template names'!#REF!</definedName>
    <definedName name="_ADJ3" localSheetId="17">'Template names'!#REF!</definedName>
    <definedName name="_ADJ3" localSheetId="18">'Template names'!#REF!</definedName>
    <definedName name="_ADJ3" localSheetId="19">'Template names'!#REF!</definedName>
    <definedName name="_ADJ3" localSheetId="20">'Template names'!#REF!</definedName>
    <definedName name="_ADJ3">'Template names'!#REF!</definedName>
    <definedName name="_ADJ4" localSheetId="3">'[1]Template names'!#REF!</definedName>
    <definedName name="_ADJ4" localSheetId="17">'Template names'!#REF!</definedName>
    <definedName name="_ADJ4" localSheetId="18">'Template names'!#REF!</definedName>
    <definedName name="_ADJ4" localSheetId="19">'Template names'!#REF!</definedName>
    <definedName name="_ADJ4" localSheetId="20">'Template names'!#REF!</definedName>
    <definedName name="_ADJ4">'Template names'!#REF!</definedName>
    <definedName name="_ADJ5" localSheetId="3">'[1]Template names'!#REF!</definedName>
    <definedName name="_ADJ5" localSheetId="17">'Template names'!#REF!</definedName>
    <definedName name="_ADJ5" localSheetId="18">'Template names'!#REF!</definedName>
    <definedName name="_ADJ5" localSheetId="19">'Template names'!#REF!</definedName>
    <definedName name="_ADJ5" localSheetId="20">'Template names'!#REF!</definedName>
    <definedName name="_ADJ5">'Template names'!#REF!</definedName>
    <definedName name="_ADJ6" localSheetId="3">'[1]Template names'!#REF!</definedName>
    <definedName name="_ADJ6" localSheetId="17">'Template names'!#REF!</definedName>
    <definedName name="_ADJ6" localSheetId="18">'Template names'!#REF!</definedName>
    <definedName name="_ADJ6" localSheetId="19">'Template names'!#REF!</definedName>
    <definedName name="_ADJ6" localSheetId="20">'Template names'!#REF!</definedName>
    <definedName name="_ADJ6">'Template names'!#REF!</definedName>
    <definedName name="_ADJ7" localSheetId="3">'[1]Template names'!#REF!</definedName>
    <definedName name="_ADJ7" localSheetId="17">'Template names'!#REF!</definedName>
    <definedName name="_ADJ7" localSheetId="18">'Template names'!#REF!</definedName>
    <definedName name="_ADJ7" localSheetId="19">'Template names'!#REF!</definedName>
    <definedName name="_ADJ7" localSheetId="20">'Template names'!#REF!</definedName>
    <definedName name="_ADJ7">'Template names'!#REF!</definedName>
    <definedName name="_ADJ8" localSheetId="3">'[1]Template names'!#REF!</definedName>
    <definedName name="_ADJ8" localSheetId="17">'Template names'!#REF!</definedName>
    <definedName name="_ADJ8" localSheetId="18">'Template names'!#REF!</definedName>
    <definedName name="_ADJ8" localSheetId="19">'Template names'!#REF!</definedName>
    <definedName name="_ADJ8" localSheetId="20">'Template names'!#REF!</definedName>
    <definedName name="_ADJ8">'Template names'!#REF!</definedName>
    <definedName name="_ADJ9" localSheetId="3">'[1]Template names'!#REF!</definedName>
    <definedName name="_ADJ9" localSheetId="17">'Template names'!#REF!</definedName>
    <definedName name="_ADJ9" localSheetId="18">'Template names'!#REF!</definedName>
    <definedName name="_ADJ9" localSheetId="19">'Template names'!#REF!</definedName>
    <definedName name="_ADJ9" localSheetId="20">'Template names'!#REF!</definedName>
    <definedName name="_ADJ9">'Template names'!#REF!</definedName>
    <definedName name="_ccf04" localSheetId="3">#REF!</definedName>
    <definedName name="_ccf04" localSheetId="17">#REF!</definedName>
    <definedName name="_ccf04" localSheetId="18">#REF!</definedName>
    <definedName name="_ccf04" localSheetId="19">#REF!</definedName>
    <definedName name="_ccf04" localSheetId="20">#REF!</definedName>
    <definedName name="_ccf04">#REF!</definedName>
    <definedName name="_ccf05" localSheetId="3">#REF!</definedName>
    <definedName name="_ccf05" localSheetId="17">#REF!</definedName>
    <definedName name="_ccf05" localSheetId="18">#REF!</definedName>
    <definedName name="_ccf05" localSheetId="19">#REF!</definedName>
    <definedName name="_ccf05" localSheetId="20">#REF!</definedName>
    <definedName name="_ccf05">#REF!</definedName>
    <definedName name="_ccf06">#REF!</definedName>
    <definedName name="_ccf07">#REF!</definedName>
    <definedName name="_ccf08">#REF!</definedName>
    <definedName name="_ccf09">#REF!</definedName>
    <definedName name="_ccf10">#REF!</definedName>
    <definedName name="_ccf11">#REF!</definedName>
    <definedName name="_ccf12">#REF!</definedName>
    <definedName name="_ccf13">#REF!</definedName>
    <definedName name="_cpi1">'[2]Balance Sheet'!$D$50</definedName>
    <definedName name="_cpi2">'[2]Balance Sheet'!$E$50</definedName>
    <definedName name="_cpi3">'[2]Balance Sheet'!$F$50</definedName>
    <definedName name="_DEP1" localSheetId="17">'Template names'!#REF!</definedName>
    <definedName name="_DEP1" localSheetId="18">'Template names'!#REF!</definedName>
    <definedName name="_DEP1" localSheetId="19">'Template names'!#REF!</definedName>
    <definedName name="_DEP1" localSheetId="20">'Template names'!#REF!</definedName>
    <definedName name="_DEP1">'Template names'!#REF!</definedName>
    <definedName name="_DEP10" localSheetId="17">'Template names'!#REF!</definedName>
    <definedName name="_DEP10" localSheetId="18">'Template names'!#REF!</definedName>
    <definedName name="_DEP10" localSheetId="19">'Template names'!#REF!</definedName>
    <definedName name="_DEP10" localSheetId="20">'Template names'!#REF!</definedName>
    <definedName name="_DEP10">'Template names'!#REF!</definedName>
    <definedName name="_DEP11" localSheetId="17">'Template names'!#REF!</definedName>
    <definedName name="_DEP11" localSheetId="18">'Template names'!#REF!</definedName>
    <definedName name="_DEP11" localSheetId="19">'Template names'!#REF!</definedName>
    <definedName name="_DEP11" localSheetId="20">'Template names'!#REF!</definedName>
    <definedName name="_DEP11">'Template names'!#REF!</definedName>
    <definedName name="_DEP12" localSheetId="17">'Template names'!#REF!</definedName>
    <definedName name="_DEP12" localSheetId="18">'Template names'!#REF!</definedName>
    <definedName name="_DEP12" localSheetId="19">'Template names'!#REF!</definedName>
    <definedName name="_DEP12" localSheetId="20">'Template names'!#REF!</definedName>
    <definedName name="_DEP12">'Template names'!#REF!</definedName>
    <definedName name="_DEP13" localSheetId="17">'Template names'!#REF!</definedName>
    <definedName name="_DEP13" localSheetId="18">'Template names'!#REF!</definedName>
    <definedName name="_DEP13" localSheetId="19">'Template names'!#REF!</definedName>
    <definedName name="_DEP13" localSheetId="20">'Template names'!#REF!</definedName>
    <definedName name="_DEP13">'Template names'!#REF!</definedName>
    <definedName name="_DEP14" localSheetId="17">'Template names'!#REF!</definedName>
    <definedName name="_DEP14" localSheetId="18">'Template names'!#REF!</definedName>
    <definedName name="_DEP14" localSheetId="19">'Template names'!#REF!</definedName>
    <definedName name="_DEP14" localSheetId="20">'Template names'!#REF!</definedName>
    <definedName name="_DEP14">'Template names'!#REF!</definedName>
    <definedName name="_DEP2" localSheetId="17">'Template names'!#REF!</definedName>
    <definedName name="_DEP2" localSheetId="18">'Template names'!#REF!</definedName>
    <definedName name="_DEP2" localSheetId="19">'Template names'!#REF!</definedName>
    <definedName name="_DEP2" localSheetId="20">'Template names'!#REF!</definedName>
    <definedName name="_DEP2">'Template names'!#REF!</definedName>
    <definedName name="_DEP3" localSheetId="17">'Template names'!#REF!</definedName>
    <definedName name="_DEP3" localSheetId="18">'Template names'!#REF!</definedName>
    <definedName name="_DEP3" localSheetId="19">'Template names'!#REF!</definedName>
    <definedName name="_DEP3" localSheetId="20">'Template names'!#REF!</definedName>
    <definedName name="_DEP3">'Template names'!#REF!</definedName>
    <definedName name="_DEP4" localSheetId="17">'Template names'!#REF!</definedName>
    <definedName name="_DEP4" localSheetId="18">'Template names'!#REF!</definedName>
    <definedName name="_DEP4" localSheetId="19">'Template names'!#REF!</definedName>
    <definedName name="_DEP4" localSheetId="20">'Template names'!#REF!</definedName>
    <definedName name="_DEP4">'Template names'!#REF!</definedName>
    <definedName name="_DEP5" localSheetId="17">'Template names'!#REF!</definedName>
    <definedName name="_DEP5" localSheetId="18">'Template names'!#REF!</definedName>
    <definedName name="_DEP5" localSheetId="19">'Template names'!#REF!</definedName>
    <definedName name="_DEP5" localSheetId="20">'Template names'!#REF!</definedName>
    <definedName name="_DEP5">'Template names'!#REF!</definedName>
    <definedName name="_DEP6" localSheetId="17">'Template names'!#REF!</definedName>
    <definedName name="_DEP6" localSheetId="18">'Template names'!#REF!</definedName>
    <definedName name="_DEP6" localSheetId="19">'Template names'!#REF!</definedName>
    <definedName name="_DEP6" localSheetId="20">'Template names'!#REF!</definedName>
    <definedName name="_DEP6">'Template names'!#REF!</definedName>
    <definedName name="_DEP7" localSheetId="17">'Template names'!#REF!</definedName>
    <definedName name="_DEP7" localSheetId="18">'Template names'!#REF!</definedName>
    <definedName name="_DEP7" localSheetId="19">'Template names'!#REF!</definedName>
    <definedName name="_DEP7" localSheetId="20">'Template names'!#REF!</definedName>
    <definedName name="_DEP7">'Template names'!#REF!</definedName>
    <definedName name="_DEP8" localSheetId="17">'Template names'!#REF!</definedName>
    <definedName name="_DEP8" localSheetId="18">'Template names'!#REF!</definedName>
    <definedName name="_DEP8" localSheetId="19">'Template names'!#REF!</definedName>
    <definedName name="_DEP8" localSheetId="20">'Template names'!#REF!</definedName>
    <definedName name="_DEP8">'Template names'!#REF!</definedName>
    <definedName name="_DEP9" localSheetId="17">'Template names'!#REF!</definedName>
    <definedName name="_DEP9" localSheetId="18">'Template names'!#REF!</definedName>
    <definedName name="_DEP9" localSheetId="19">'Template names'!#REF!</definedName>
    <definedName name="_DEP9" localSheetId="20">'Template names'!#REF!</definedName>
    <definedName name="_DEP9">'Template names'!#REF!</definedName>
    <definedName name="_ecf04" localSheetId="3">#REF!</definedName>
    <definedName name="_ecf04" localSheetId="17">#REF!</definedName>
    <definedName name="_ecf04" localSheetId="18">#REF!</definedName>
    <definedName name="_ecf04" localSheetId="19">#REF!</definedName>
    <definedName name="_ecf04" localSheetId="20">#REF!</definedName>
    <definedName name="_ecf04">#REF!</definedName>
    <definedName name="_ecf05" localSheetId="3">#REF!</definedName>
    <definedName name="_ecf05" localSheetId="17">#REF!</definedName>
    <definedName name="_ecf05" localSheetId="18">#REF!</definedName>
    <definedName name="_ecf05" localSheetId="19">#REF!</definedName>
    <definedName name="_ecf05" localSheetId="20">#REF!</definedName>
    <definedName name="_ecf05">#REF!</definedName>
    <definedName name="_ecf06">#REF!</definedName>
    <definedName name="_ecf07">#REF!</definedName>
    <definedName name="_ecf08">#REF!</definedName>
    <definedName name="_ecf09">#REF!</definedName>
    <definedName name="_ecf10">#REF!</definedName>
    <definedName name="_ecf11">#REF!</definedName>
    <definedName name="_ecf12">#REF!</definedName>
    <definedName name="_ecf13">#REF!</definedName>
    <definedName name="_emp04" localSheetId="3">#REF!</definedName>
    <definedName name="_emp04" localSheetId="17">#REF!</definedName>
    <definedName name="_emp04" localSheetId="18">#REF!</definedName>
    <definedName name="_emp04" localSheetId="19">#REF!</definedName>
    <definedName name="_emp04" localSheetId="20">#REF!</definedName>
    <definedName name="_emp04">#REF!</definedName>
    <definedName name="_emp05" localSheetId="3">#REF!</definedName>
    <definedName name="_emp05" localSheetId="17">#REF!</definedName>
    <definedName name="_emp05" localSheetId="18">#REF!</definedName>
    <definedName name="_emp05" localSheetId="19">#REF!</definedName>
    <definedName name="_emp05" localSheetId="20">#REF!</definedName>
    <definedName name="_emp05">#REF!</definedName>
    <definedName name="_emp06">#REF!</definedName>
    <definedName name="_emp07">#REF!</definedName>
    <definedName name="_emp08">#REF!</definedName>
    <definedName name="_emp09">#REF!</definedName>
    <definedName name="_emp10">#REF!</definedName>
    <definedName name="_emp11">#REF!</definedName>
    <definedName name="_emp12">#REF!</definedName>
    <definedName name="_emp13">#REF!</definedName>
    <definedName name="_emp14">#REF!</definedName>
    <definedName name="_emp15">#REF!</definedName>
    <definedName name="_emp16">#REF!</definedName>
    <definedName name="_emp17">#REF!</definedName>
    <definedName name="_emp18">#REF!</definedName>
    <definedName name="_emp19">#REF!</definedName>
    <definedName name="_emp20">#REF!</definedName>
    <definedName name="_emp21">#REF!</definedName>
    <definedName name="_Ent1" localSheetId="17">'Template names'!#REF!</definedName>
    <definedName name="_Ent1" localSheetId="18">'Template names'!#REF!</definedName>
    <definedName name="_Ent1" localSheetId="19">'Template names'!#REF!</definedName>
    <definedName name="_Ent1" localSheetId="20">'Template names'!#REF!</definedName>
    <definedName name="_Ent1">'Template names'!#REF!</definedName>
    <definedName name="_Ent2" localSheetId="17">'Template names'!#REF!</definedName>
    <definedName name="_Ent2" localSheetId="18">'Template names'!#REF!</definedName>
    <definedName name="_Ent2" localSheetId="19">'Template names'!#REF!</definedName>
    <definedName name="_Ent2" localSheetId="20">'Template names'!#REF!</definedName>
    <definedName name="_Ent2">'Template names'!#REF!</definedName>
    <definedName name="_Ent3" localSheetId="17">'Template names'!#REF!</definedName>
    <definedName name="_Ent3" localSheetId="18">'Template names'!#REF!</definedName>
    <definedName name="_Ent3" localSheetId="19">'Template names'!#REF!</definedName>
    <definedName name="_Ent3" localSheetId="20">'Template names'!#REF!</definedName>
    <definedName name="_Ent3">'Template names'!#REF!</definedName>
    <definedName name="_inf1" localSheetId="3">#REF!</definedName>
    <definedName name="_inf1" localSheetId="17">#REF!</definedName>
    <definedName name="_inf1" localSheetId="18">#REF!</definedName>
    <definedName name="_inf1" localSheetId="19">#REF!</definedName>
    <definedName name="_inf1" localSheetId="20">#REF!</definedName>
    <definedName name="_inf1">#REF!</definedName>
    <definedName name="_inf2" localSheetId="3">#REF!</definedName>
    <definedName name="_inf2" localSheetId="17">#REF!</definedName>
    <definedName name="_inf2" localSheetId="18">#REF!</definedName>
    <definedName name="_inf2" localSheetId="19">#REF!</definedName>
    <definedName name="_inf2" localSheetId="20">#REF!</definedName>
    <definedName name="_inf2">#REF!</definedName>
    <definedName name="_inf3" localSheetId="3">#REF!</definedName>
    <definedName name="_inf3" localSheetId="17">#REF!</definedName>
    <definedName name="_inf3" localSheetId="18">#REF!</definedName>
    <definedName name="_inf3" localSheetId="19">#REF!</definedName>
    <definedName name="_inf3" localSheetId="20">#REF!</definedName>
    <definedName name="_inf3">#REF!</definedName>
    <definedName name="_int04" localSheetId="3">#REF!</definedName>
    <definedName name="_int04" localSheetId="17">#REF!</definedName>
    <definedName name="_int04" localSheetId="18">#REF!</definedName>
    <definedName name="_int04" localSheetId="19">#REF!</definedName>
    <definedName name="_int04" localSheetId="20">#REF!</definedName>
    <definedName name="_int04">#REF!</definedName>
    <definedName name="_int05" localSheetId="3">#REF!</definedName>
    <definedName name="_int05" localSheetId="17">#REF!</definedName>
    <definedName name="_int05" localSheetId="18">#REF!</definedName>
    <definedName name="_int05" localSheetId="19">#REF!</definedName>
    <definedName name="_int05" localSheetId="20">#REF!</definedName>
    <definedName name="_int05">#REF!</definedName>
    <definedName name="_int06">#REF!</definedName>
    <definedName name="_int07">#REF!</definedName>
    <definedName name="_int08">#REF!</definedName>
    <definedName name="_int09">#REF!</definedName>
    <definedName name="_int10">#REF!</definedName>
    <definedName name="_int11">#REF!</definedName>
    <definedName name="_int12">#REF!</definedName>
    <definedName name="_int13">#REF!</definedName>
    <definedName name="_int14">#REF!</definedName>
    <definedName name="_int15">#REF!</definedName>
    <definedName name="_int16">#REF!</definedName>
    <definedName name="_int17">#REF!</definedName>
    <definedName name="_int18">#REF!</definedName>
    <definedName name="_int19">#REF!</definedName>
    <definedName name="_int20">#REF!</definedName>
    <definedName name="_inv04" localSheetId="3">#REF!</definedName>
    <definedName name="_inv04" localSheetId="17">#REF!</definedName>
    <definedName name="_inv04" localSheetId="18">#REF!</definedName>
    <definedName name="_inv04" localSheetId="19">#REF!</definedName>
    <definedName name="_inv04" localSheetId="20">#REF!</definedName>
    <definedName name="_inv04">#REF!</definedName>
    <definedName name="_inv05" localSheetId="3">#REF!</definedName>
    <definedName name="_inv05" localSheetId="17">#REF!</definedName>
    <definedName name="_inv05" localSheetId="18">#REF!</definedName>
    <definedName name="_inv05" localSheetId="19">#REF!</definedName>
    <definedName name="_inv05" localSheetId="20">#REF!</definedName>
    <definedName name="_inv05">#REF!</definedName>
    <definedName name="_inv06">#REF!</definedName>
    <definedName name="_inv07">#REF!</definedName>
    <definedName name="_inv08">#REF!</definedName>
    <definedName name="_inv09">#REF!</definedName>
    <definedName name="_inv10">#REF!</definedName>
    <definedName name="_inv11">#REF!</definedName>
    <definedName name="_inv12">#REF!</definedName>
    <definedName name="_inv13">#REF!</definedName>
    <definedName name="_MEB1" localSheetId="3">'[1]Template names'!#REF!</definedName>
    <definedName name="_MEB1">'Template names'!$B$81</definedName>
    <definedName name="_MEB10" localSheetId="3">'[1]Template names'!#REF!</definedName>
    <definedName name="_MEB10">'Template names'!$B$99</definedName>
    <definedName name="_MEB11" localSheetId="3">'[1]Template names'!#REF!</definedName>
    <definedName name="_MEB11">'Template names'!$B$100</definedName>
    <definedName name="_MEB12" localSheetId="3">'[1]Template names'!#REF!</definedName>
    <definedName name="_MEB12">'Template names'!$B$97</definedName>
    <definedName name="_MEB13">'Template names'!$B$98</definedName>
    <definedName name="_MEB2" localSheetId="3">'[1]Template names'!#REF!</definedName>
    <definedName name="_MEB2">'Template names'!$B$83</definedName>
    <definedName name="_MEB3" localSheetId="3">'[1]Template names'!#REF!</definedName>
    <definedName name="_MEB3">'Template names'!$B$84</definedName>
    <definedName name="_MEB4" localSheetId="3">'[1]Template names'!#REF!</definedName>
    <definedName name="_MEB4">'Template names'!$B$85</definedName>
    <definedName name="_MEB5" localSheetId="3">'[1]Template names'!#REF!</definedName>
    <definedName name="_MEB5">'Template names'!$B$88</definedName>
    <definedName name="_MEB6" localSheetId="3">'[1]Template names'!#REF!</definedName>
    <definedName name="_MEB6">'Template names'!$B$86</definedName>
    <definedName name="_MEB7" localSheetId="3">'[1]Template names'!#REF!</definedName>
    <definedName name="_MEB7">'Template names'!$B$87</definedName>
    <definedName name="_MEB8" localSheetId="3">'[1]Template names'!#REF!</definedName>
    <definedName name="_MEB8">'Template names'!$B$91</definedName>
    <definedName name="_MEB9" localSheetId="3">'[1]Template names'!#REF!</definedName>
    <definedName name="_MEB9">'Template names'!$B$92</definedName>
    <definedName name="_MER1" localSheetId="3">'[1]Template names'!#REF!</definedName>
    <definedName name="_MER1" localSheetId="17">'Template names'!#REF!</definedName>
    <definedName name="_MER1" localSheetId="18">'Template names'!#REF!</definedName>
    <definedName name="_MER1" localSheetId="19">'Template names'!#REF!</definedName>
    <definedName name="_MER1" localSheetId="20">'Template names'!#REF!</definedName>
    <definedName name="_MER1">'Template names'!#REF!</definedName>
    <definedName name="_MER10" localSheetId="3">'[1]Template names'!#REF!</definedName>
    <definedName name="_MER10" localSheetId="17">'Template names'!#REF!</definedName>
    <definedName name="_MER10" localSheetId="18">'Template names'!#REF!</definedName>
    <definedName name="_MER10" localSheetId="19">'Template names'!#REF!</definedName>
    <definedName name="_MER10" localSheetId="20">'Template names'!#REF!</definedName>
    <definedName name="_MER10">'Template names'!#REF!</definedName>
    <definedName name="_MER11" localSheetId="3">'[1]Template names'!#REF!</definedName>
    <definedName name="_MER11" localSheetId="17">'Template names'!#REF!</definedName>
    <definedName name="_MER11" localSheetId="18">'Template names'!#REF!</definedName>
    <definedName name="_MER11" localSheetId="19">'Template names'!#REF!</definedName>
    <definedName name="_MER11" localSheetId="20">'Template names'!#REF!</definedName>
    <definedName name="_MER11">'Template names'!#REF!</definedName>
    <definedName name="_MER2" localSheetId="3">'[1]Template names'!#REF!</definedName>
    <definedName name="_MER2" localSheetId="17">'Template names'!#REF!</definedName>
    <definedName name="_MER2" localSheetId="18">'Template names'!#REF!</definedName>
    <definedName name="_MER2" localSheetId="19">'Template names'!#REF!</definedName>
    <definedName name="_MER2" localSheetId="20">'Template names'!#REF!</definedName>
    <definedName name="_MER2">'Template names'!#REF!</definedName>
    <definedName name="_MER3" localSheetId="3">'[1]Template names'!#REF!</definedName>
    <definedName name="_MER3" localSheetId="17">'Template names'!#REF!</definedName>
    <definedName name="_MER3" localSheetId="18">'Template names'!#REF!</definedName>
    <definedName name="_MER3" localSheetId="19">'Template names'!#REF!</definedName>
    <definedName name="_MER3" localSheetId="20">'Template names'!#REF!</definedName>
    <definedName name="_MER3">'Template names'!#REF!</definedName>
    <definedName name="_MER4" localSheetId="3">'[1]Template names'!#REF!</definedName>
    <definedName name="_MER4" localSheetId="17">'Template names'!#REF!</definedName>
    <definedName name="_MER4" localSheetId="18">'Template names'!#REF!</definedName>
    <definedName name="_MER4" localSheetId="19">'Template names'!#REF!</definedName>
    <definedName name="_MER4" localSheetId="20">'Template names'!#REF!</definedName>
    <definedName name="_MER4">'Template names'!#REF!</definedName>
    <definedName name="_MER5" localSheetId="3">'[1]Template names'!#REF!</definedName>
    <definedName name="_MER5" localSheetId="17">'Template names'!#REF!</definedName>
    <definedName name="_MER5" localSheetId="18">'Template names'!#REF!</definedName>
    <definedName name="_MER5" localSheetId="19">'Template names'!#REF!</definedName>
    <definedName name="_MER5" localSheetId="20">'Template names'!#REF!</definedName>
    <definedName name="_MER5">'Template names'!#REF!</definedName>
    <definedName name="_MER6" localSheetId="3">'[1]Template names'!#REF!</definedName>
    <definedName name="_MER6" localSheetId="17">'Template names'!#REF!</definedName>
    <definedName name="_MER6" localSheetId="18">'Template names'!#REF!</definedName>
    <definedName name="_MER6" localSheetId="19">'Template names'!#REF!</definedName>
    <definedName name="_MER6" localSheetId="20">'Template names'!#REF!</definedName>
    <definedName name="_MER6">'Template names'!#REF!</definedName>
    <definedName name="_MER7" localSheetId="3">'[1]Template names'!#REF!</definedName>
    <definedName name="_MER7" localSheetId="17">'Template names'!#REF!</definedName>
    <definedName name="_MER7" localSheetId="18">'Template names'!#REF!</definedName>
    <definedName name="_MER7" localSheetId="19">'Template names'!#REF!</definedName>
    <definedName name="_MER7" localSheetId="20">'Template names'!#REF!</definedName>
    <definedName name="_MER7">'Template names'!#REF!</definedName>
    <definedName name="_MER8" localSheetId="3">'[1]Template names'!#REF!</definedName>
    <definedName name="_MER8" localSheetId="17">'Template names'!#REF!</definedName>
    <definedName name="_MER8" localSheetId="18">'Template names'!#REF!</definedName>
    <definedName name="_MER8" localSheetId="19">'Template names'!#REF!</definedName>
    <definedName name="_MER8" localSheetId="20">'Template names'!#REF!</definedName>
    <definedName name="_MER8">'Template names'!#REF!</definedName>
    <definedName name="_MER9" localSheetId="3">'[1]Template names'!#REF!</definedName>
    <definedName name="_MER9" localSheetId="17">'Template names'!#REF!</definedName>
    <definedName name="_MER9" localSheetId="18">'Template names'!#REF!</definedName>
    <definedName name="_MER9" localSheetId="19">'Template names'!#REF!</definedName>
    <definedName name="_MER9" localSheetId="20">'Template names'!#REF!</definedName>
    <definedName name="_MER9">'Template names'!#REF!</definedName>
    <definedName name="_rat03" localSheetId="3">#REF!</definedName>
    <definedName name="_rat03" localSheetId="17">#REF!</definedName>
    <definedName name="_rat03" localSheetId="18">#REF!</definedName>
    <definedName name="_rat03" localSheetId="19">#REF!</definedName>
    <definedName name="_rat03" localSheetId="20">#REF!</definedName>
    <definedName name="_rat03">#REF!</definedName>
    <definedName name="_rat04" localSheetId="3">#REF!</definedName>
    <definedName name="_rat04" localSheetId="17">#REF!</definedName>
    <definedName name="_rat04" localSheetId="18">#REF!</definedName>
    <definedName name="_rat04" localSheetId="19">#REF!</definedName>
    <definedName name="_rat04" localSheetId="20">#REF!</definedName>
    <definedName name="_rat04">#REF!</definedName>
    <definedName name="_rat05" localSheetId="3">#REF!</definedName>
    <definedName name="_rat05" localSheetId="17">#REF!</definedName>
    <definedName name="_rat05" localSheetId="18">#REF!</definedName>
    <definedName name="_rat05" localSheetId="19">#REF!</definedName>
    <definedName name="_rat05" localSheetId="20">#REF!</definedName>
    <definedName name="_rat05">#REF!</definedName>
    <definedName name="_rat06" localSheetId="3">#REF!</definedName>
    <definedName name="_rat06" localSheetId="17">#REF!</definedName>
    <definedName name="_rat06" localSheetId="18">#REF!</definedName>
    <definedName name="_rat06" localSheetId="19">#REF!</definedName>
    <definedName name="_rat06" localSheetId="20">#REF!</definedName>
    <definedName name="_rat06">#REF!</definedName>
    <definedName name="_rat07" localSheetId="3">#REF!</definedName>
    <definedName name="_rat07" localSheetId="17">#REF!</definedName>
    <definedName name="_rat07" localSheetId="18">#REF!</definedName>
    <definedName name="_rat07" localSheetId="19">#REF!</definedName>
    <definedName name="_rat07" localSheetId="20">#REF!</definedName>
    <definedName name="_rat07">#REF!</definedName>
    <definedName name="_rat08" localSheetId="3">#REF!</definedName>
    <definedName name="_rat08" localSheetId="17">#REF!</definedName>
    <definedName name="_rat08" localSheetId="18">#REF!</definedName>
    <definedName name="_rat08" localSheetId="19">#REF!</definedName>
    <definedName name="_rat08" localSheetId="20">#REF!</definedName>
    <definedName name="_rat08">#REF!</definedName>
    <definedName name="_rat09" localSheetId="3">#REF!</definedName>
    <definedName name="_rat09" localSheetId="17">#REF!</definedName>
    <definedName name="_rat09" localSheetId="18">#REF!</definedName>
    <definedName name="_rat09" localSheetId="19">#REF!</definedName>
    <definedName name="_rat09" localSheetId="20">#REF!</definedName>
    <definedName name="_rat09">#REF!</definedName>
    <definedName name="_rat10" localSheetId="3">#REF!</definedName>
    <definedName name="_rat10" localSheetId="17">#REF!</definedName>
    <definedName name="_rat10" localSheetId="18">#REF!</definedName>
    <definedName name="_rat10" localSheetId="19">#REF!</definedName>
    <definedName name="_rat10" localSheetId="20">#REF!</definedName>
    <definedName name="_rat10">#REF!</definedName>
    <definedName name="_rat11" localSheetId="3">#REF!</definedName>
    <definedName name="_rat11" localSheetId="17">#REF!</definedName>
    <definedName name="_rat11" localSheetId="18">#REF!</definedName>
    <definedName name="_rat11" localSheetId="19">#REF!</definedName>
    <definedName name="_rat11" localSheetId="20">#REF!</definedName>
    <definedName name="_rat11">#REF!</definedName>
    <definedName name="_rat12" localSheetId="3">#REF!</definedName>
    <definedName name="_rat12" localSheetId="17">#REF!</definedName>
    <definedName name="_rat12" localSheetId="18">#REF!</definedName>
    <definedName name="_rat12" localSheetId="19">#REF!</definedName>
    <definedName name="_rat12" localSheetId="20">#REF!</definedName>
    <definedName name="_rat12">#REF!</definedName>
    <definedName name="_rat13" localSheetId="3">#REF!</definedName>
    <definedName name="_rat13" localSheetId="17">#REF!</definedName>
    <definedName name="_rat13" localSheetId="18">#REF!</definedName>
    <definedName name="_rat13" localSheetId="19">#REF!</definedName>
    <definedName name="_rat13" localSheetId="20">#REF!</definedName>
    <definedName name="_rat13">#REF!</definedName>
    <definedName name="_rgr05" localSheetId="3">#REF!</definedName>
    <definedName name="_rgr05" localSheetId="17">#REF!</definedName>
    <definedName name="_rgr05" localSheetId="18">#REF!</definedName>
    <definedName name="_rgr05" localSheetId="19">#REF!</definedName>
    <definedName name="_rgr05" localSheetId="20">#REF!</definedName>
    <definedName name="_rgr05">#REF!</definedName>
    <definedName name="_rgr06">#REF!</definedName>
    <definedName name="_rgr07">#REF!</definedName>
    <definedName name="_rgr08">#REF!</definedName>
    <definedName name="_rgr09">#REF!</definedName>
    <definedName name="_rgr10">#REF!</definedName>
    <definedName name="_rgr11">#REF!</definedName>
    <definedName name="_rgr12">#REF!</definedName>
    <definedName name="_rgr13">#REF!</definedName>
    <definedName name="_rgr14">#REF!</definedName>
    <definedName name="_rgr15">#REF!</definedName>
    <definedName name="_rgr16">#REF!</definedName>
    <definedName name="_rgr17">#REF!</definedName>
    <definedName name="_rgr18">#REF!</definedName>
    <definedName name="_rgr19">#REF!</definedName>
    <definedName name="_rgr20">#REF!</definedName>
    <definedName name="_rmc05" localSheetId="3">#REF!</definedName>
    <definedName name="_rmc05" localSheetId="17">#REF!</definedName>
    <definedName name="_rmc05" localSheetId="18">#REF!</definedName>
    <definedName name="_rmc05" localSheetId="19">#REF!</definedName>
    <definedName name="_rmc05" localSheetId="20">#REF!</definedName>
    <definedName name="_rmc05">#REF!</definedName>
    <definedName name="_rmc06">#REF!</definedName>
    <definedName name="_rmc07">#REF!</definedName>
    <definedName name="_rmc08">#REF!</definedName>
    <definedName name="_rmc09">#REF!</definedName>
    <definedName name="_rmc10">#REF!</definedName>
    <definedName name="_rmc11">#REF!</definedName>
    <definedName name="_rmc12">#REF!</definedName>
    <definedName name="_rmc13">#REF!</definedName>
    <definedName name="_rmc14">#REF!</definedName>
    <definedName name="_rmc15">#REF!</definedName>
    <definedName name="_rmc16">#REF!</definedName>
    <definedName name="_rmc17">#REF!</definedName>
    <definedName name="_rmc18">#REF!</definedName>
    <definedName name="_rmc19">#REF!</definedName>
    <definedName name="_rmc20">#REF!</definedName>
    <definedName name="_rmc21">#REF!</definedName>
    <definedName name="_Sch1" localSheetId="17">'Template names'!#REF!</definedName>
    <definedName name="_Sch1" localSheetId="18">'Template names'!#REF!</definedName>
    <definedName name="_Sch1" localSheetId="19">'Template names'!#REF!</definedName>
    <definedName name="_Sch1" localSheetId="20">'Template names'!#REF!</definedName>
    <definedName name="_Sch1">'Template names'!#REF!</definedName>
    <definedName name="_Sch10" localSheetId="17">'Template names'!#REF!</definedName>
    <definedName name="_Sch10" localSheetId="18">'Template names'!#REF!</definedName>
    <definedName name="_Sch10" localSheetId="19">'Template names'!#REF!</definedName>
    <definedName name="_Sch10" localSheetId="20">'Template names'!#REF!</definedName>
    <definedName name="_Sch10">'Template names'!#REF!</definedName>
    <definedName name="_sch11" localSheetId="17">'Template names'!#REF!</definedName>
    <definedName name="_sch11" localSheetId="18">'Template names'!#REF!</definedName>
    <definedName name="_sch11" localSheetId="19">'Template names'!#REF!</definedName>
    <definedName name="_sch11" localSheetId="20">'Template names'!#REF!</definedName>
    <definedName name="_sch11">'Template names'!#REF!</definedName>
    <definedName name="_Sch2" localSheetId="17">'Template names'!#REF!</definedName>
    <definedName name="_Sch2" localSheetId="18">'Template names'!#REF!</definedName>
    <definedName name="_Sch2" localSheetId="19">'Template names'!#REF!</definedName>
    <definedName name="_Sch2" localSheetId="20">'Template names'!#REF!</definedName>
    <definedName name="_Sch2">'Template names'!#REF!</definedName>
    <definedName name="_Sch3" localSheetId="17">'Template names'!#REF!</definedName>
    <definedName name="_Sch3" localSheetId="18">'Template names'!#REF!</definedName>
    <definedName name="_Sch3" localSheetId="19">'Template names'!#REF!</definedName>
    <definedName name="_Sch3" localSheetId="20">'Template names'!#REF!</definedName>
    <definedName name="_Sch3">'Template names'!#REF!</definedName>
    <definedName name="_Sch4" localSheetId="17">'Template names'!#REF!</definedName>
    <definedName name="_Sch4" localSheetId="18">'Template names'!#REF!</definedName>
    <definedName name="_Sch4" localSheetId="19">'Template names'!#REF!</definedName>
    <definedName name="_Sch4" localSheetId="20">'Template names'!#REF!</definedName>
    <definedName name="_Sch4">'Template names'!#REF!</definedName>
    <definedName name="_Sch5" localSheetId="17">'Template names'!#REF!</definedName>
    <definedName name="_Sch5" localSheetId="18">'Template names'!#REF!</definedName>
    <definedName name="_Sch5" localSheetId="19">'Template names'!#REF!</definedName>
    <definedName name="_Sch5" localSheetId="20">'Template names'!#REF!</definedName>
    <definedName name="_Sch5">'Template names'!#REF!</definedName>
    <definedName name="_Sch6" localSheetId="17">'Template names'!#REF!</definedName>
    <definedName name="_Sch6" localSheetId="18">'Template names'!#REF!</definedName>
    <definedName name="_Sch6" localSheetId="19">'Template names'!#REF!</definedName>
    <definedName name="_Sch6" localSheetId="20">'Template names'!#REF!</definedName>
    <definedName name="_Sch6">'Template names'!#REF!</definedName>
    <definedName name="_Sch7" localSheetId="17">'Template names'!#REF!</definedName>
    <definedName name="_Sch7" localSheetId="18">'Template names'!#REF!</definedName>
    <definedName name="_Sch7" localSheetId="19">'Template names'!#REF!</definedName>
    <definedName name="_Sch7" localSheetId="20">'Template names'!#REF!</definedName>
    <definedName name="_Sch7">'Template names'!#REF!</definedName>
    <definedName name="_Sch8" localSheetId="17">'Template names'!#REF!</definedName>
    <definedName name="_Sch8" localSheetId="18">'Template names'!#REF!</definedName>
    <definedName name="_Sch8" localSheetId="19">'Template names'!#REF!</definedName>
    <definedName name="_Sch8" localSheetId="20">'Template names'!#REF!</definedName>
    <definedName name="_Sch8">'Template names'!#REF!</definedName>
    <definedName name="_Sch9" localSheetId="17">'Template names'!#REF!</definedName>
    <definedName name="_Sch9" localSheetId="18">'Template names'!#REF!</definedName>
    <definedName name="_Sch9" localSheetId="19">'Template names'!#REF!</definedName>
    <definedName name="_Sch9" localSheetId="20">'Template names'!#REF!</definedName>
    <definedName name="_Sch9">'Template names'!#REF!</definedName>
    <definedName name="_sdc05" localSheetId="3">#REF!</definedName>
    <definedName name="_sdc05" localSheetId="17">#REF!</definedName>
    <definedName name="_sdc05" localSheetId="18">#REF!</definedName>
    <definedName name="_sdc05" localSheetId="19">#REF!</definedName>
    <definedName name="_sdc05" localSheetId="20">#REF!</definedName>
    <definedName name="_sdc05">#REF!</definedName>
    <definedName name="_sdc06">#REF!</definedName>
    <definedName name="_sdc07">#REF!</definedName>
    <definedName name="_sdc08">#REF!</definedName>
    <definedName name="_sdc09">#REF!</definedName>
    <definedName name="_sdc10">#REF!</definedName>
    <definedName name="_sdc11">#REF!</definedName>
    <definedName name="_sdc12">#REF!</definedName>
    <definedName name="_sdc13">#REF!</definedName>
    <definedName name="_sdc14">#REF!</definedName>
    <definedName name="_sdc15">#REF!</definedName>
    <definedName name="_sdc16">#REF!</definedName>
    <definedName name="_sdc17">#REF!</definedName>
    <definedName name="_sdc18">#REF!</definedName>
    <definedName name="_sdc19">#REF!</definedName>
    <definedName name="_sdc20">#REF!</definedName>
    <definedName name="_wc05" localSheetId="3">#REF!</definedName>
    <definedName name="_wc05" localSheetId="17">#REF!</definedName>
    <definedName name="_wc05" localSheetId="18">#REF!</definedName>
    <definedName name="_wc05" localSheetId="19">#REF!</definedName>
    <definedName name="_wc05" localSheetId="20">#REF!</definedName>
    <definedName name="_wc05">#REF!</definedName>
    <definedName name="_wc06">#REF!</definedName>
    <definedName name="_wc07">#REF!</definedName>
    <definedName name="_wc08">#REF!</definedName>
    <definedName name="_wc09">#REF!</definedName>
    <definedName name="_wc10">#REF!</definedName>
    <definedName name="_wc11">#REF!</definedName>
    <definedName name="_wc12">#REF!</definedName>
    <definedName name="_wc13">#REF!</definedName>
    <definedName name="_wc14">#REF!</definedName>
    <definedName name="_wc15">#REF!</definedName>
    <definedName name="_wc16">#REF!</definedName>
    <definedName name="_wc17">#REF!</definedName>
    <definedName name="_wc18">#REF!</definedName>
    <definedName name="_wc19">#REF!</definedName>
    <definedName name="_wc20">#REF!</definedName>
    <definedName name="ADJ10plus" localSheetId="3">'[1]Template names'!#REF!</definedName>
    <definedName name="ADJ10plus" localSheetId="17">'Template names'!#REF!</definedName>
    <definedName name="ADJ10plus" localSheetId="18">'Template names'!#REF!</definedName>
    <definedName name="ADJ10plus" localSheetId="19">'Template names'!#REF!</definedName>
    <definedName name="ADJ10plus" localSheetId="20">'Template names'!#REF!</definedName>
    <definedName name="ADJ10plus">'Template names'!#REF!</definedName>
    <definedName name="ADJ18A" localSheetId="3">'[1]Template names'!#REF!</definedName>
    <definedName name="ADJ18A" localSheetId="17">'Template names'!#REF!</definedName>
    <definedName name="ADJ18A" localSheetId="18">'Template names'!#REF!</definedName>
    <definedName name="ADJ18A" localSheetId="19">'Template names'!#REF!</definedName>
    <definedName name="ADJ18A" localSheetId="20">'Template names'!#REF!</definedName>
    <definedName name="ADJ18A">'Template names'!#REF!</definedName>
    <definedName name="ADJ18B" localSheetId="3">'[1]Template names'!#REF!</definedName>
    <definedName name="ADJ18B" localSheetId="17">'Template names'!#REF!</definedName>
    <definedName name="ADJ18B" localSheetId="18">'Template names'!#REF!</definedName>
    <definedName name="ADJ18B" localSheetId="19">'Template names'!#REF!</definedName>
    <definedName name="ADJ18B" localSheetId="20">'Template names'!#REF!</definedName>
    <definedName name="ADJ18B">'Template names'!#REF!</definedName>
    <definedName name="ADJ19B" localSheetId="3">'[1]Template names'!#REF!</definedName>
    <definedName name="ADJ19B" localSheetId="17">'Template names'!#REF!</definedName>
    <definedName name="ADJ19B" localSheetId="18">'Template names'!#REF!</definedName>
    <definedName name="ADJ19B" localSheetId="19">'Template names'!#REF!</definedName>
    <definedName name="ADJ19B" localSheetId="20">'Template names'!#REF!</definedName>
    <definedName name="ADJ19B">'Template names'!#REF!</definedName>
    <definedName name="ADJ8A" localSheetId="3">'[1]Template names'!#REF!</definedName>
    <definedName name="ADJ8A" localSheetId="17">'Template names'!#REF!</definedName>
    <definedName name="ADJ8A" localSheetId="18">'Template names'!#REF!</definedName>
    <definedName name="ADJ8A" localSheetId="19">'Template names'!#REF!</definedName>
    <definedName name="ADJ8A" localSheetId="20">'Template names'!#REF!</definedName>
    <definedName name="ADJ8A">'Template names'!#REF!</definedName>
    <definedName name="ADJ8B" localSheetId="3">'[1]Template names'!#REF!</definedName>
    <definedName name="ADJ8B" localSheetId="17">'Template names'!#REF!</definedName>
    <definedName name="ADJ8B" localSheetId="18">'Template names'!#REF!</definedName>
    <definedName name="ADJ8B" localSheetId="19">'Template names'!#REF!</definedName>
    <definedName name="ADJ8B" localSheetId="20">'Template names'!#REF!</definedName>
    <definedName name="ADJ8B">'Template names'!#REF!</definedName>
    <definedName name="ADJP1" localSheetId="3">'[1]Template names'!#REF!</definedName>
    <definedName name="ADJP1" localSheetId="17">'Template names'!#REF!</definedName>
    <definedName name="ADJP1" localSheetId="18">'Template names'!#REF!</definedName>
    <definedName name="ADJP1" localSheetId="19">'Template names'!#REF!</definedName>
    <definedName name="ADJP1" localSheetId="20">'Template names'!#REF!</definedName>
    <definedName name="ADJP1">'Template names'!#REF!</definedName>
    <definedName name="adjsum" localSheetId="3">'[1]Template names'!#REF!</definedName>
    <definedName name="adjsum" localSheetId="17">'Template names'!#REF!</definedName>
    <definedName name="adjsum" localSheetId="18">'Template names'!#REF!</definedName>
    <definedName name="adjsum" localSheetId="19">'Template names'!#REF!</definedName>
    <definedName name="adjsum" localSheetId="20">'Template names'!#REF!</definedName>
    <definedName name="adjsum">'Template names'!#REF!</definedName>
    <definedName name="ADJTB1" localSheetId="3">'[1]Template names'!#REF!</definedName>
    <definedName name="ADJTB1" localSheetId="17">'Template names'!#REF!</definedName>
    <definedName name="ADJTB1" localSheetId="18">'Template names'!#REF!</definedName>
    <definedName name="ADJTB1" localSheetId="19">'Template names'!#REF!</definedName>
    <definedName name="ADJTB1" localSheetId="20">'Template names'!#REF!</definedName>
    <definedName name="ADJTB1">'Template names'!#REF!</definedName>
    <definedName name="ADJXX" localSheetId="3">'[1]Template names'!#REF!</definedName>
    <definedName name="ADJXX" localSheetId="17">'Template names'!#REF!</definedName>
    <definedName name="ADJXX" localSheetId="18">'Template names'!#REF!</definedName>
    <definedName name="ADJXX" localSheetId="19">'Template names'!#REF!</definedName>
    <definedName name="ADJXX" localSheetId="20">'Template names'!#REF!</definedName>
    <definedName name="ADJXX">'Template names'!#REF!</definedName>
    <definedName name="Approve1">#REF!</definedName>
    <definedName name="Approve10">#REF!</definedName>
    <definedName name="Approve2">#REF!</definedName>
    <definedName name="Approve3">#REF!</definedName>
    <definedName name="Approve4">#REF!</definedName>
    <definedName name="Approve5">#REF!</definedName>
    <definedName name="Approve6">#REF!</definedName>
    <definedName name="Approve7">#REF!</definedName>
    <definedName name="Approve8">#REF!</definedName>
    <definedName name="Approve9">#REF!</definedName>
    <definedName name="Asset_Class">'Lookup and lists (2)'!$Z$15:$Z$29</definedName>
    <definedName name="asset_class1">'Lookup and lists (2)'!$Z$16:$Z$40</definedName>
    <definedName name="Asset_sub_class">'Lookup and lists (2)'!$AA$15:$AA$59</definedName>
    <definedName name="asset_subclass1">'Lookup and lists (2)'!$AB$16:$AB$124</definedName>
    <definedName name="assetsched" localSheetId="17">'Template names'!#REF!</definedName>
    <definedName name="assetsched" localSheetId="18">'Template names'!#REF!</definedName>
    <definedName name="assetsched" localSheetId="19">'Template names'!#REF!</definedName>
    <definedName name="assetsched" localSheetId="20">'Template names'!#REF!</definedName>
    <definedName name="assetsched">'Template names'!#REF!</definedName>
    <definedName name="avelife07">#REF!</definedName>
    <definedName name="avelife08">#REF!</definedName>
    <definedName name="avelife09">#REF!</definedName>
    <definedName name="avelife10">#REF!</definedName>
    <definedName name="avelife11">#REF!</definedName>
    <definedName name="avelife12">#REF!</definedName>
    <definedName name="avelife13">#REF!</definedName>
    <definedName name="balloon" localSheetId="3">#REF!</definedName>
    <definedName name="balloon" localSheetId="17">#REF!</definedName>
    <definedName name="balloon" localSheetId="18">#REF!</definedName>
    <definedName name="balloon" localSheetId="19">#REF!</definedName>
    <definedName name="balloon" localSheetId="20">#REF!</definedName>
    <definedName name="balloon">#REF!</definedName>
    <definedName name="basedesc">'Template names'!$D$40:$D$40</definedName>
    <definedName name="baseindex" localSheetId="17">'Template names'!#REF!</definedName>
    <definedName name="baseindex" localSheetId="18">'Template names'!#REF!</definedName>
    <definedName name="baseindex" localSheetId="19">'Template names'!#REF!</definedName>
    <definedName name="baseindex" localSheetId="20">'Template names'!#REF!</definedName>
    <definedName name="baseindex">'Template names'!#REF!</definedName>
    <definedName name="Bus" localSheetId="3">#REF!</definedName>
    <definedName name="Bus" localSheetId="17">#REF!</definedName>
    <definedName name="Bus" localSheetId="18">#REF!</definedName>
    <definedName name="Bus" localSheetId="19">#REF!</definedName>
    <definedName name="Bus" localSheetId="20">#REF!</definedName>
    <definedName name="Bus">#REF!</definedName>
    <definedName name="Capex" localSheetId="19">'D3-Capex'!#REF!</definedName>
    <definedName name="Capex" localSheetId="20">'D3-Capex'!#REF!</definedName>
    <definedName name="Capex">'D3-Capex'!#REF!</definedName>
    <definedName name="capexfactor" localSheetId="3">#REF!</definedName>
    <definedName name="capexfactor" localSheetId="17">#REF!</definedName>
    <definedName name="capexfactor" localSheetId="18">#REF!</definedName>
    <definedName name="capexfactor" localSheetId="19">#REF!</definedName>
    <definedName name="capexfactor" localSheetId="20">#REF!</definedName>
    <definedName name="capexfactor">#REF!</definedName>
    <definedName name="capexlimit06">#REF!</definedName>
    <definedName name="capexlimit07">#REF!</definedName>
    <definedName name="capexlimit08">#REF!</definedName>
    <definedName name="capexlimit09">#REF!</definedName>
    <definedName name="capexrate04" localSheetId="3">#REF!</definedName>
    <definedName name="capexrate04" localSheetId="17">#REF!</definedName>
    <definedName name="capexrate04" localSheetId="18">#REF!</definedName>
    <definedName name="capexrate04" localSheetId="19">#REF!</definedName>
    <definedName name="capexrate04" localSheetId="20">#REF!</definedName>
    <definedName name="capexrate04">#REF!</definedName>
    <definedName name="capexrate05" localSheetId="3">#REF!</definedName>
    <definedName name="capexrate05" localSheetId="17">#REF!</definedName>
    <definedName name="capexrate05" localSheetId="18">#REF!</definedName>
    <definedName name="capexrate05" localSheetId="19">#REF!</definedName>
    <definedName name="capexrate05" localSheetId="20">#REF!</definedName>
    <definedName name="capexrate05">#REF!</definedName>
    <definedName name="capexrate06">#REF!</definedName>
    <definedName name="capexrate07">#REF!</definedName>
    <definedName name="capexrate08">#REF!</definedName>
    <definedName name="capexrate09">#REF!</definedName>
    <definedName name="capexrate10">#REF!</definedName>
    <definedName name="capexrate11">#REF!</definedName>
    <definedName name="capexrate12">#REF!</definedName>
    <definedName name="capexrate13">#REF!</definedName>
    <definedName name="capexrate14">#REF!</definedName>
    <definedName name="capexrate15">#REF!</definedName>
    <definedName name="capexrate16">#REF!</definedName>
    <definedName name="capexrate17">#REF!</definedName>
    <definedName name="capexrate18">#REF!</definedName>
    <definedName name="capexrate19">#REF!</definedName>
    <definedName name="capexrate20">#REF!</definedName>
    <definedName name="capexrate21">#REF!</definedName>
    <definedName name="Capytd" localSheetId="3">#REF!</definedName>
    <definedName name="Capytd">#REF!</definedName>
    <definedName name="Cash1">'Template names'!$B$72</definedName>
    <definedName name="Cash2">'Template names'!$B$73</definedName>
    <definedName name="cfactor08">#REF!</definedName>
    <definedName name="cfactor09">#REF!</definedName>
    <definedName name="cfactor10">#REF!</definedName>
    <definedName name="cfactor11">#REF!</definedName>
    <definedName name="cfactor12">#REF!</definedName>
    <definedName name="cfactor13">#REF!</definedName>
    <definedName name="Charges1" localSheetId="17">'Template names'!#REF!</definedName>
    <definedName name="Charges1" localSheetId="18">'Template names'!#REF!</definedName>
    <definedName name="Charges1" localSheetId="19">'Template names'!#REF!</definedName>
    <definedName name="Charges1" localSheetId="20">'Template names'!#REF!</definedName>
    <definedName name="Charges1">'Template names'!#REF!</definedName>
    <definedName name="ChartA1">#REF!</definedName>
    <definedName name="ChartA10">#REF!</definedName>
    <definedName name="ChartA11">#REF!</definedName>
    <definedName name="ChartA12">#REF!</definedName>
    <definedName name="ChartA13">#REF!</definedName>
    <definedName name="ChartA2">#REF!</definedName>
    <definedName name="ChartA3">#REF!</definedName>
    <definedName name="ChartA4">#REF!</definedName>
    <definedName name="ChartA5">#REF!</definedName>
    <definedName name="ChartA6">#REF!</definedName>
    <definedName name="ChartA7">#REF!</definedName>
    <definedName name="ChartA8">#REF!</definedName>
    <definedName name="ChartA9">#REF!</definedName>
    <definedName name="choosebase" localSheetId="17">'Template names'!#REF!</definedName>
    <definedName name="choosebase" localSheetId="18">'Template names'!#REF!</definedName>
    <definedName name="choosebase" localSheetId="19">'Template names'!#REF!</definedName>
    <definedName name="choosebase" localSheetId="20">'Template names'!#REF!</definedName>
    <definedName name="choosebase">'Template names'!#REF!</definedName>
    <definedName name="Consolques" localSheetId="17">'Template names'!#REF!</definedName>
    <definedName name="Consolques" localSheetId="18">'Template names'!#REF!</definedName>
    <definedName name="Consolques" localSheetId="19">'Template names'!#REF!</definedName>
    <definedName name="Consolques" localSheetId="20">'Template names'!#REF!</definedName>
    <definedName name="Consolques">'Template names'!#REF!</definedName>
    <definedName name="cpix04" localSheetId="3">#REF!</definedName>
    <definedName name="cpix04" localSheetId="17">#REF!</definedName>
    <definedName name="cpix04" localSheetId="18">#REF!</definedName>
    <definedName name="cpix04" localSheetId="19">#REF!</definedName>
    <definedName name="cpix04" localSheetId="20">#REF!</definedName>
    <definedName name="cpix04">#REF!</definedName>
    <definedName name="cpix05" localSheetId="3">#REF!</definedName>
    <definedName name="cpix05" localSheetId="17">#REF!</definedName>
    <definedName name="cpix05" localSheetId="18">#REF!</definedName>
    <definedName name="cpix05" localSheetId="19">#REF!</definedName>
    <definedName name="cpix05" localSheetId="20">#REF!</definedName>
    <definedName name="cpix05">#REF!</definedName>
    <definedName name="cpix06">#REF!</definedName>
    <definedName name="cpix07">#REF!</definedName>
    <definedName name="cpix08">#REF!</definedName>
    <definedName name="cpix09">#REF!</definedName>
    <definedName name="cpix10">#REF!</definedName>
    <definedName name="cpix11">#REF!</definedName>
    <definedName name="cpix12">#REF!</definedName>
    <definedName name="cpix13">#REF!</definedName>
    <definedName name="cpix14">#REF!</definedName>
    <definedName name="cpix15">#REF!</definedName>
    <definedName name="cpix16">#REF!</definedName>
    <definedName name="cpix17">#REF!</definedName>
    <definedName name="cpix18">#REF!</definedName>
    <definedName name="cpix19">#REF!</definedName>
    <definedName name="cpix20">#REF!</definedName>
    <definedName name="cpix21">#REF!</definedName>
    <definedName name="credit06" localSheetId="3">#REF!</definedName>
    <definedName name="credit06" localSheetId="17">#REF!</definedName>
    <definedName name="credit06" localSheetId="18">#REF!</definedName>
    <definedName name="credit06" localSheetId="19">#REF!</definedName>
    <definedName name="credit06" localSheetId="20">#REF!</definedName>
    <definedName name="credit06">#REF!</definedName>
    <definedName name="date">[3]Data!$B$2</definedName>
    <definedName name="debt03" localSheetId="3">#REF!</definedName>
    <definedName name="debt03" localSheetId="17">#REF!</definedName>
    <definedName name="debt03" localSheetId="18">#REF!</definedName>
    <definedName name="debt03" localSheetId="19">#REF!</definedName>
    <definedName name="debt03" localSheetId="20">#REF!</definedName>
    <definedName name="debt03">#REF!</definedName>
    <definedName name="debt04" localSheetId="3">#REF!</definedName>
    <definedName name="debt04" localSheetId="17">#REF!</definedName>
    <definedName name="debt04" localSheetId="18">#REF!</definedName>
    <definedName name="debt04" localSheetId="19">#REF!</definedName>
    <definedName name="debt04" localSheetId="20">#REF!</definedName>
    <definedName name="debt04">#REF!</definedName>
    <definedName name="debt05" localSheetId="3">#REF!</definedName>
    <definedName name="debt05" localSheetId="17">#REF!</definedName>
    <definedName name="debt05" localSheetId="18">#REF!</definedName>
    <definedName name="debt05" localSheetId="19">#REF!</definedName>
    <definedName name="debt05" localSheetId="20">#REF!</definedName>
    <definedName name="debt05">#REF!</definedName>
    <definedName name="debt06">#REF!</definedName>
    <definedName name="debt07">#REF!</definedName>
    <definedName name="debt08">#REF!</definedName>
    <definedName name="debt09">#REF!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17">#REF!</definedName>
    <definedName name="debt18">#REF!</definedName>
    <definedName name="debt19">#REF!</definedName>
    <definedName name="debt20">#REF!</definedName>
    <definedName name="debt21">#REF!</definedName>
    <definedName name="debtrev04" localSheetId="3">#REF!</definedName>
    <definedName name="debtrev04" localSheetId="17">#REF!</definedName>
    <definedName name="debtrev04" localSheetId="18">#REF!</definedName>
    <definedName name="debtrev04" localSheetId="19">#REF!</definedName>
    <definedName name="debtrev04" localSheetId="20">#REF!</definedName>
    <definedName name="debtrev04">#REF!</definedName>
    <definedName name="debtrev05" localSheetId="3">#REF!</definedName>
    <definedName name="debtrev05" localSheetId="17">#REF!</definedName>
    <definedName name="debtrev05" localSheetId="18">#REF!</definedName>
    <definedName name="debtrev05" localSheetId="19">#REF!</definedName>
    <definedName name="debtrev05" localSheetId="20">#REF!</definedName>
    <definedName name="debtrev05">#REF!</definedName>
    <definedName name="debtrev06">#REF!</definedName>
    <definedName name="debtrev07">#REF!</definedName>
    <definedName name="debtrev08">#REF!</definedName>
    <definedName name="debtrev09">#REF!</definedName>
    <definedName name="debtrev10">#REF!</definedName>
    <definedName name="debtrev11">#REF!</definedName>
    <definedName name="debtrev12">#REF!</definedName>
    <definedName name="debtrev13">#REF!</definedName>
    <definedName name="debtrev14">#REF!</definedName>
    <definedName name="debtrev15">#REF!</definedName>
    <definedName name="debtrev16">#REF!</definedName>
    <definedName name="debtrev17">#REF!</definedName>
    <definedName name="debtrev18">#REF!</definedName>
    <definedName name="debtrev19">#REF!</definedName>
    <definedName name="debtrev20">#REF!</definedName>
    <definedName name="debtrev21">#REF!</definedName>
    <definedName name="desc">'Template names'!$B$31</definedName>
    <definedName name="dfratio03">#REF!</definedName>
    <definedName name="dfratio04">#REF!</definedName>
    <definedName name="dfratio05">#REF!</definedName>
    <definedName name="dfratio06">#REF!</definedName>
    <definedName name="dfratioadj04">#REF!</definedName>
    <definedName name="dfration02">#REF!</definedName>
    <definedName name="ecchoice" localSheetId="3">#REF!</definedName>
    <definedName name="ecchoice" localSheetId="17">#REF!</definedName>
    <definedName name="ecchoice" localSheetId="18">#REF!</definedName>
    <definedName name="ecchoice" localSheetId="19">#REF!</definedName>
    <definedName name="ecchoice" localSheetId="20">#REF!</definedName>
    <definedName name="ecchoice">#REF!</definedName>
    <definedName name="elec05" localSheetId="3">#REF!</definedName>
    <definedName name="elec05" localSheetId="17">#REF!</definedName>
    <definedName name="elec05" localSheetId="18">#REF!</definedName>
    <definedName name="elec05" localSheetId="19">#REF!</definedName>
    <definedName name="elec05" localSheetId="20">#REF!</definedName>
    <definedName name="elec05">#REF!</definedName>
    <definedName name="elec06">#REF!</definedName>
    <definedName name="elec07">#REF!</definedName>
    <definedName name="elec08">#REF!</definedName>
    <definedName name="elec09">#REF!</definedName>
    <definedName name="elec10">#REF!</definedName>
    <definedName name="elec11">#REF!</definedName>
    <definedName name="elec12">#REF!</definedName>
    <definedName name="elec13">#REF!</definedName>
    <definedName name="elecbulk06">#REF!</definedName>
    <definedName name="elecextra">#REF!</definedName>
    <definedName name="elecrev06">#REF!</definedName>
    <definedName name="elecrev07">#REF!</definedName>
    <definedName name="elecrev08">#REF!</definedName>
    <definedName name="elecrev09">#REF!</definedName>
    <definedName name="elecrev10">#REF!</definedName>
    <definedName name="elecrev11">#REF!</definedName>
    <definedName name="elecrev12">#REF!</definedName>
    <definedName name="elecrev13">#REF!</definedName>
    <definedName name="elecrev14">#REF!</definedName>
    <definedName name="elecrev15">#REF!</definedName>
    <definedName name="elecrev16">#REF!</definedName>
    <definedName name="elecrev17">#REF!</definedName>
    <definedName name="elecrev18">#REF!</definedName>
    <definedName name="elecrev19">#REF!</definedName>
    <definedName name="elecrev20">#REF!</definedName>
    <definedName name="elecrev21">#REF!</definedName>
    <definedName name="entity">'Template names'!$B$76</definedName>
    <definedName name="entityshort">'Template names'!$B$77</definedName>
    <definedName name="EOYcapex">#REF!</definedName>
    <definedName name="eskom07" localSheetId="3">#REF!</definedName>
    <definedName name="eskom07" localSheetId="17">#REF!</definedName>
    <definedName name="eskom07" localSheetId="18">#REF!</definedName>
    <definedName name="eskom07" localSheetId="19">#REF!</definedName>
    <definedName name="eskom07" localSheetId="20">#REF!</definedName>
    <definedName name="eskom07">#REF!</definedName>
    <definedName name="fdil">'Template names'!$B$32</definedName>
    <definedName name="FinYear" localSheetId="3">Instructions!$X$36</definedName>
    <definedName name="finyear">[3]Data!$B$4</definedName>
    <definedName name="finyears" localSheetId="3">#REF!</definedName>
    <definedName name="finyears" localSheetId="17">#REF!</definedName>
    <definedName name="finyears" localSheetId="18">#REF!</definedName>
    <definedName name="finyears" localSheetId="19">#REF!</definedName>
    <definedName name="finyears" localSheetId="20">#REF!</definedName>
    <definedName name="finyears">#REF!</definedName>
    <definedName name="Fundnote" localSheetId="17">'Template names'!#REF!</definedName>
    <definedName name="Fundnote" localSheetId="18">'Template names'!#REF!</definedName>
    <definedName name="Fundnote" localSheetId="19">'Template names'!#REF!</definedName>
    <definedName name="Fundnote" localSheetId="20">'Template names'!#REF!</definedName>
    <definedName name="Fundnote">'Template names'!#REF!</definedName>
    <definedName name="GrantNatCapex">'Lookup and lists (2)'!$AB$2:$AB$9</definedName>
    <definedName name="GrantNatOpex">'Lookup and lists (2)'!$Z$2:$Z$13</definedName>
    <definedName name="GrantProvCapex">'Lookup and lists (2)'!$AC$2:$AC$9</definedName>
    <definedName name="GrantProvOpex">'Lookup and lists (2)'!$AA$2:$AA$6</definedName>
    <definedName name="Head1">'Template names'!$B$2</definedName>
    <definedName name="Head10">'Template names'!$B$17</definedName>
    <definedName name="Head11">'Template names'!$B$18</definedName>
    <definedName name="Head12">'Template names'!$B$19</definedName>
    <definedName name="Head13">'Template names'!$B$20</definedName>
    <definedName name="Head14">'Template names'!$B$21</definedName>
    <definedName name="Head15">'Template names'!$B$22</definedName>
    <definedName name="Head16">'Template names'!$B$23</definedName>
    <definedName name="Head17">'Template names'!$B$24</definedName>
    <definedName name="Head18">'Template names'!$B$25</definedName>
    <definedName name="Head19">'Template names'!$B$26</definedName>
    <definedName name="head1A">'Template names'!$B$3</definedName>
    <definedName name="head1b">'Template names'!$B$4</definedName>
    <definedName name="Head2">'Template names'!$B$5</definedName>
    <definedName name="Head20">'Template names'!$B$27</definedName>
    <definedName name="Head21">'Template names'!$B$28</definedName>
    <definedName name="Head22">'Template names'!$B$29</definedName>
    <definedName name="Head23">'Template names'!$B$30</definedName>
    <definedName name="Head24">'Template names'!$B$31</definedName>
    <definedName name="Head25">#REF!</definedName>
    <definedName name="head27">'Template names'!$B$34</definedName>
    <definedName name="head27a">'Template names'!$B$35</definedName>
    <definedName name="Head29">'Template names'!$B$37</definedName>
    <definedName name="Head2A">'Template names'!$B$6</definedName>
    <definedName name="Head3">'Template names'!$B$7</definedName>
    <definedName name="Head30">'Template names'!$B$38</definedName>
    <definedName name="Head31">'Template names'!$B$39</definedName>
    <definedName name="Head32">'Template names'!$B$40</definedName>
    <definedName name="Head33">'Template names'!$B$41</definedName>
    <definedName name="Head34">'Template names'!$B$42</definedName>
    <definedName name="Head35">'Template names'!$B$43</definedName>
    <definedName name="Head36">'Template names'!$B$44</definedName>
    <definedName name="Head37">'Template names'!$B$45</definedName>
    <definedName name="Head38">'Template names'!$B$46</definedName>
    <definedName name="Head39">'Template names'!$B$47</definedName>
    <definedName name="Head3a">'Template names'!$B$8</definedName>
    <definedName name="Head4">'Template names'!$B$9</definedName>
    <definedName name="Head40">'Template names'!$B$48</definedName>
    <definedName name="Head41">'Template names'!$B$49</definedName>
    <definedName name="Head42">'Template names'!$B$50</definedName>
    <definedName name="Head43">'Template names'!$B$51</definedName>
    <definedName name="Head44">'Template names'!$B$52</definedName>
    <definedName name="Head45">'Template names'!$B$53</definedName>
    <definedName name="head46">'Template names'!$B$54</definedName>
    <definedName name="Head47">'Template names'!$B$55</definedName>
    <definedName name="Head48">'Template names'!$B$56</definedName>
    <definedName name="Head49">'Template names'!$B$57</definedName>
    <definedName name="Head5">'Template names'!$B$10</definedName>
    <definedName name="Head50">'Template names'!$B$58</definedName>
    <definedName name="Head51">'Template names'!$B$59</definedName>
    <definedName name="Head52">'Template names'!$B$60</definedName>
    <definedName name="Head53">'Template names'!$B$61</definedName>
    <definedName name="Head54">'Template names'!$B$62</definedName>
    <definedName name="Head55">'Template names'!$B$63</definedName>
    <definedName name="Head56">'Template names'!$B$64</definedName>
    <definedName name="Head57">'Template names'!$B$65</definedName>
    <definedName name="Head58">'Template names'!$B$66</definedName>
    <definedName name="Head59">'Template names'!$B$67</definedName>
    <definedName name="Head5A">'Template names'!$B$11</definedName>
    <definedName name="Head5b">'Template names'!$B$12</definedName>
    <definedName name="Head6">'Template names'!$B$13</definedName>
    <definedName name="Head7">'Template names'!$B$14</definedName>
    <definedName name="Head8">'Template names'!$B$15</definedName>
    <definedName name="Head9">'Template names'!$B$16</definedName>
    <definedName name="Headings">'Lookup and lists'!$A$1:$O$24</definedName>
    <definedName name="hhgr05" localSheetId="3">#REF!</definedName>
    <definedName name="hhgr05" localSheetId="17">#REF!</definedName>
    <definedName name="hhgr05" localSheetId="18">#REF!</definedName>
    <definedName name="hhgr05" localSheetId="19">#REF!</definedName>
    <definedName name="hhgr05" localSheetId="20">#REF!</definedName>
    <definedName name="hhgr05">#REF!</definedName>
    <definedName name="hhgr06">#REF!</definedName>
    <definedName name="hhgr07">#REF!</definedName>
    <definedName name="hhgr08">#REF!</definedName>
    <definedName name="hhgr09">#REF!</definedName>
    <definedName name="hhgr10">#REF!</definedName>
    <definedName name="hhgr11">#REF!</definedName>
    <definedName name="hhgr12">#REF!</definedName>
    <definedName name="hhgr13">#REF!</definedName>
    <definedName name="hhgr14">#REF!</definedName>
    <definedName name="hhgr15">#REF!</definedName>
    <definedName name="hhgr16">#REF!</definedName>
    <definedName name="hhgr17">#REF!</definedName>
    <definedName name="hhgr18">#REF!</definedName>
    <definedName name="hhgr19">#REF!</definedName>
    <definedName name="hhgr20">#REF!</definedName>
    <definedName name="hhgr21">#REF!</definedName>
    <definedName name="incentive" localSheetId="3">#REF!</definedName>
    <definedName name="incentive" localSheetId="17">#REF!</definedName>
    <definedName name="incentive" localSheetId="18">#REF!</definedName>
    <definedName name="incentive" localSheetId="19">#REF!</definedName>
    <definedName name="incentive" localSheetId="20">#REF!</definedName>
    <definedName name="incentive">#REF!</definedName>
    <definedName name="infra">#REF!</definedName>
    <definedName name="Infrarenewal">#REF!</definedName>
    <definedName name="infrastratnum">#REF!</definedName>
    <definedName name="Instructions" localSheetId="3">#REF!</definedName>
    <definedName name="Instructions">#REF!</definedName>
    <definedName name="inventory" localSheetId="3">#REF!</definedName>
    <definedName name="inventory" localSheetId="17">#REF!</definedName>
    <definedName name="inventory" localSheetId="18">#REF!</definedName>
    <definedName name="inventory" localSheetId="19">#REF!</definedName>
    <definedName name="inventory" localSheetId="20">#REF!</definedName>
    <definedName name="inventory">#REF!</definedName>
    <definedName name="IUDF">'Lookup and lists (2)'!$AC$16:$AC$19</definedName>
    <definedName name="List1">'Lookup and lists (2)'!$Q$2:$Q$4</definedName>
    <definedName name="List2">'Lookup and lists (2)'!$R$2:$R$8</definedName>
    <definedName name="List3">'Lookup and lists (2)'!$S$2:$S$7</definedName>
    <definedName name="List4">'Lookup and lists (2)'!$T$2:$T$4</definedName>
    <definedName name="List5">'Lookup and lists (2)'!$U$2:$U$4</definedName>
    <definedName name="List6">'Lookup and lists (2)'!$V$2:$V$3</definedName>
    <definedName name="List7">'Lookup and lists (2)'!$W$2:$W$3</definedName>
    <definedName name="List8">'Lookup and lists (2)'!$X$2:$X$3</definedName>
    <definedName name="longterm" localSheetId="3">#REF!</definedName>
    <definedName name="longterm" localSheetId="17">#REF!</definedName>
    <definedName name="longterm" localSheetId="18">#REF!</definedName>
    <definedName name="longterm" localSheetId="19">#REF!</definedName>
    <definedName name="longterm" localSheetId="20">#REF!</definedName>
    <definedName name="longterm">#REF!</definedName>
    <definedName name="MEAB1" localSheetId="3">'[1]Template names'!#REF!</definedName>
    <definedName name="MEAB1" localSheetId="17">'Template names'!#REF!</definedName>
    <definedName name="MEAB1" localSheetId="18">'Template names'!#REF!</definedName>
    <definedName name="MEAB1" localSheetId="19">'Template names'!#REF!</definedName>
    <definedName name="MEAB1" localSheetId="20">'Template names'!#REF!</definedName>
    <definedName name="MEAB1">'Template names'!#REF!</definedName>
    <definedName name="MEAB10" localSheetId="3">'[1]Template names'!#REF!</definedName>
    <definedName name="MEAB10" localSheetId="17">'Template names'!#REF!</definedName>
    <definedName name="MEAB10" localSheetId="18">'Template names'!#REF!</definedName>
    <definedName name="MEAB10" localSheetId="19">'Template names'!#REF!</definedName>
    <definedName name="MEAB10" localSheetId="20">'Template names'!#REF!</definedName>
    <definedName name="MEAB10">'Template names'!#REF!</definedName>
    <definedName name="MEAB11" localSheetId="3">'[1]Template names'!#REF!</definedName>
    <definedName name="MEAB11" localSheetId="17">'Template names'!#REF!</definedName>
    <definedName name="MEAB11" localSheetId="18">'Template names'!#REF!</definedName>
    <definedName name="MEAB11" localSheetId="19">'Template names'!#REF!</definedName>
    <definedName name="MEAB11" localSheetId="20">'Template names'!#REF!</definedName>
    <definedName name="MEAB11">'Template names'!#REF!</definedName>
    <definedName name="MEAB2" localSheetId="3">'[1]Template names'!#REF!</definedName>
    <definedName name="MEAB2" localSheetId="17">'Template names'!#REF!</definedName>
    <definedName name="MEAB2" localSheetId="18">'Template names'!#REF!</definedName>
    <definedName name="MEAB2" localSheetId="19">'Template names'!#REF!</definedName>
    <definedName name="MEAB2" localSheetId="20">'Template names'!#REF!</definedName>
    <definedName name="MEAB2">'Template names'!#REF!</definedName>
    <definedName name="MEAB3" localSheetId="3">'[1]Template names'!#REF!</definedName>
    <definedName name="MEAB3" localSheetId="17">'Template names'!#REF!</definedName>
    <definedName name="MEAB3" localSheetId="18">'Template names'!#REF!</definedName>
    <definedName name="MEAB3" localSheetId="19">'Template names'!#REF!</definedName>
    <definedName name="MEAB3" localSheetId="20">'Template names'!#REF!</definedName>
    <definedName name="MEAB3">'Template names'!#REF!</definedName>
    <definedName name="MEAB4" localSheetId="3">'[1]Template names'!#REF!</definedName>
    <definedName name="MEAB4" localSheetId="17">'Template names'!#REF!</definedName>
    <definedName name="MEAB4" localSheetId="18">'Template names'!#REF!</definedName>
    <definedName name="MEAB4" localSheetId="19">'Template names'!#REF!</definedName>
    <definedName name="MEAB4" localSheetId="20">'Template names'!#REF!</definedName>
    <definedName name="MEAB4">'Template names'!#REF!</definedName>
    <definedName name="MEAB5" localSheetId="3">'[1]Template names'!#REF!</definedName>
    <definedName name="MEAB5" localSheetId="17">'Template names'!#REF!</definedName>
    <definedName name="MEAB5" localSheetId="18">'Template names'!#REF!</definedName>
    <definedName name="MEAB5" localSheetId="19">'Template names'!#REF!</definedName>
    <definedName name="MEAB5" localSheetId="20">'Template names'!#REF!</definedName>
    <definedName name="MEAB5">'Template names'!#REF!</definedName>
    <definedName name="MEAB6" localSheetId="3">'[1]Template names'!#REF!</definedName>
    <definedName name="MEAB6" localSheetId="17">'Template names'!#REF!</definedName>
    <definedName name="MEAB6" localSheetId="18">'Template names'!#REF!</definedName>
    <definedName name="MEAB6" localSheetId="19">'Template names'!#REF!</definedName>
    <definedName name="MEAB6" localSheetId="20">'Template names'!#REF!</definedName>
    <definedName name="MEAB6">'Template names'!#REF!</definedName>
    <definedName name="MEAB7" localSheetId="3">'[1]Template names'!#REF!</definedName>
    <definedName name="MEAB7" localSheetId="17">'Template names'!#REF!</definedName>
    <definedName name="MEAB7" localSheetId="18">'Template names'!#REF!</definedName>
    <definedName name="MEAB7" localSheetId="19">'Template names'!#REF!</definedName>
    <definedName name="MEAB7" localSheetId="20">'Template names'!#REF!</definedName>
    <definedName name="MEAB7">'Template names'!#REF!</definedName>
    <definedName name="MEAB8" localSheetId="3">'[1]Template names'!#REF!</definedName>
    <definedName name="MEAB8" localSheetId="17">'Template names'!#REF!</definedName>
    <definedName name="MEAB8" localSheetId="18">'Template names'!#REF!</definedName>
    <definedName name="MEAB8" localSheetId="19">'Template names'!#REF!</definedName>
    <definedName name="MEAB8" localSheetId="20">'Template names'!#REF!</definedName>
    <definedName name="MEAB8">'Template names'!#REF!</definedName>
    <definedName name="MEAB9" localSheetId="3">'[1]Template names'!#REF!</definedName>
    <definedName name="MEAB9" localSheetId="17">'Template names'!#REF!</definedName>
    <definedName name="MEAB9" localSheetId="18">'Template names'!#REF!</definedName>
    <definedName name="MEAB9" localSheetId="19">'Template names'!#REF!</definedName>
    <definedName name="MEAB9" localSheetId="20">'Template names'!#REF!</definedName>
    <definedName name="MEAB9">'Template names'!#REF!</definedName>
    <definedName name="MEABsum" localSheetId="3">'[1]Template names'!#REF!</definedName>
    <definedName name="MEABsum" localSheetId="17">'Template names'!#REF!</definedName>
    <definedName name="MEABsum" localSheetId="18">'Template names'!#REF!</definedName>
    <definedName name="MEABsum" localSheetId="19">'Template names'!#REF!</definedName>
    <definedName name="MEABsum" localSheetId="20">'Template names'!#REF!</definedName>
    <definedName name="MEABsum">'Template names'!#REF!</definedName>
    <definedName name="MEB1A" localSheetId="3">'[1]Template names'!#REF!</definedName>
    <definedName name="MEB1A">'Template names'!$B$82</definedName>
    <definedName name="MEB5a">'Template names'!$B$89</definedName>
    <definedName name="MEB5b">'Template names'!$B$90</definedName>
    <definedName name="MEB9a">'Template names'!$B$92</definedName>
    <definedName name="MEB9b">'Template names'!$B$93</definedName>
    <definedName name="MEB9c">'Template names'!$B$94</definedName>
    <definedName name="MEB9d">'Template names'!$B$95</definedName>
    <definedName name="MEB9e">'Template names'!$B$96</definedName>
    <definedName name="MEBsum" localSheetId="3">'[1]Template names'!#REF!</definedName>
    <definedName name="MEBsum">'Template names'!$B$80</definedName>
    <definedName name="MERsum" localSheetId="3">'[1]Template names'!#REF!</definedName>
    <definedName name="MERsum" localSheetId="17">'Template names'!#REF!</definedName>
    <definedName name="MERsum" localSheetId="18">'Template names'!#REF!</definedName>
    <definedName name="MERsum" localSheetId="19">'Template names'!#REF!</definedName>
    <definedName name="MERsum" localSheetId="20">'Template names'!#REF!</definedName>
    <definedName name="MERsum">'Template names'!#REF!</definedName>
    <definedName name="month">[3]Data!$B$1</definedName>
    <definedName name="MTREF" localSheetId="3">Instructions!$X$34</definedName>
    <definedName name="MTREF">Instructions!$X$34</definedName>
    <definedName name="MTSF">'Lookup and lists (2)'!$AD$16:$AD$29</definedName>
    <definedName name="muni" localSheetId="3">'[1]Template names'!$B$93</definedName>
    <definedName name="muni">'Template names'!$B$97</definedName>
    <definedName name="MuniEntities">'[1]Template names'!$B$94</definedName>
    <definedName name="MuniType">'[1]Template names'!$D$94</definedName>
    <definedName name="nersa07" localSheetId="3">#REF!</definedName>
    <definedName name="nersa07" localSheetId="17">#REF!</definedName>
    <definedName name="nersa07" localSheetId="18">#REF!</definedName>
    <definedName name="nersa07" localSheetId="19">#REF!</definedName>
    <definedName name="nersa07" localSheetId="20">#REF!</definedName>
    <definedName name="nersa07">#REF!</definedName>
    <definedName name="nersa08" localSheetId="3">#REF!</definedName>
    <definedName name="nersa08" localSheetId="17">#REF!</definedName>
    <definedName name="nersa08" localSheetId="18">#REF!</definedName>
    <definedName name="nersa08" localSheetId="19">#REF!</definedName>
    <definedName name="nersa08" localSheetId="20">#REF!</definedName>
    <definedName name="nersa08">#REF!</definedName>
    <definedName name="nethhgr05" localSheetId="3">#REF!</definedName>
    <definedName name="nethhgr05" localSheetId="17">#REF!</definedName>
    <definedName name="nethhgr05" localSheetId="18">#REF!</definedName>
    <definedName name="nethhgr05" localSheetId="19">#REF!</definedName>
    <definedName name="nethhgr05" localSheetId="20">#REF!</definedName>
    <definedName name="nethhgr05">#REF!</definedName>
    <definedName name="nethhgr06">#REF!</definedName>
    <definedName name="nethhgr07">#REF!</definedName>
    <definedName name="nethhgr08">#REF!</definedName>
    <definedName name="nethhgr09">#REF!</definedName>
    <definedName name="nethhgr10">#REF!</definedName>
    <definedName name="nethhgr11">#REF!</definedName>
    <definedName name="nethhgr12">#REF!</definedName>
    <definedName name="nethhgr13">#REF!</definedName>
    <definedName name="nethhgr14">#REF!</definedName>
    <definedName name="nethhgr15">#REF!</definedName>
    <definedName name="nethhgr16">#REF!</definedName>
    <definedName name="nethhgr17">#REF!</definedName>
    <definedName name="nethhgr18">#REF!</definedName>
    <definedName name="nethhgr19">#REF!</definedName>
    <definedName name="nethhgr20">#REF!</definedName>
    <definedName name="nethhgr21">#REF!</definedName>
    <definedName name="newTable25" localSheetId="17">'Template names'!#REF!</definedName>
    <definedName name="newTable25" localSheetId="18">'Template names'!#REF!</definedName>
    <definedName name="newTable25" localSheetId="19">'Template names'!#REF!</definedName>
    <definedName name="newTable25" localSheetId="20">'Template names'!#REF!</definedName>
    <definedName name="newTable25">'Template names'!#REF!</definedName>
    <definedName name="ninety" localSheetId="3">#REF!</definedName>
    <definedName name="ninety">#REF!</definedName>
    <definedName name="Note20">[4]Names!$B$89</definedName>
    <definedName name="poorgr06">#REF!</definedName>
    <definedName name="_xlnm.Print_Area" localSheetId="5">'D1-Sum'!$A$1:$J$46</definedName>
    <definedName name="_xlnm.Print_Area" localSheetId="6">'D2-FinPerf'!$A$1:$K$50</definedName>
    <definedName name="_xlnm.Print_Area" localSheetId="8">'D4-FinPos'!$A$1:$K$53</definedName>
    <definedName name="_xlnm.Print_Area" localSheetId="9">'D5-CFlow'!$A$1:$K$46</definedName>
    <definedName name="_xlnm.Print_Area" localSheetId="3">Instructions!$A$1:$M$47</definedName>
    <definedName name="_xlnm.Print_Area" localSheetId="10">'SD1'!$A$1:$K$36</definedName>
    <definedName name="_xlnm.Print_Area" localSheetId="23">'SD10'!$A$1:$F$24</definedName>
    <definedName name="_xlnm.Print_Area" localSheetId="11">'SD2'!$A$1:$L$40</definedName>
    <definedName name="_xlnm.Print_Area" localSheetId="12">'SD3'!$A$1:$I$24</definedName>
    <definedName name="_xlnm.Print_Area" localSheetId="13">'SD4'!$A$1:$K$57</definedName>
    <definedName name="_xlnm.Print_Area" localSheetId="15">'SD6'!$A$1:$P$36</definedName>
    <definedName name="_xlnm.Print_Area" localSheetId="16">SD7a!$A$1:$K$167</definedName>
    <definedName name="_xlnm.Print_Area" localSheetId="17">SD7b!$A$1:$K$167</definedName>
    <definedName name="_xlnm.Print_Area" localSheetId="18">SD7c!$A$1:$K$167</definedName>
    <definedName name="_xlnm.Print_Area" localSheetId="19">SD7d!$A$1:$K$167</definedName>
    <definedName name="_xlnm.Print_Area" localSheetId="20">SD7e!$A$1:$K$167</definedName>
    <definedName name="_xlnm.Print_Area" localSheetId="21">'SD8'!$A$1:$I$24</definedName>
    <definedName name="_xlnm.Print_Area" localSheetId="22">'SD9'!$A$1:$O$1</definedName>
    <definedName name="proptax07">#REF!</definedName>
    <definedName name="Rand000" localSheetId="3">#REF!</definedName>
    <definedName name="Rand000" localSheetId="17">#REF!</definedName>
    <definedName name="Rand000" localSheetId="18">#REF!</definedName>
    <definedName name="Rand000" localSheetId="19">#REF!</definedName>
    <definedName name="Rand000" localSheetId="20">#REF!</definedName>
    <definedName name="Rand000">#REF!</definedName>
    <definedName name="RandM">'Template names'!$B$74</definedName>
    <definedName name="Rates1" localSheetId="17">'Template names'!#REF!</definedName>
    <definedName name="Rates1" localSheetId="18">'Template names'!#REF!</definedName>
    <definedName name="Rates1" localSheetId="19">'Template names'!#REF!</definedName>
    <definedName name="Rates1" localSheetId="20">'Template names'!#REF!</definedName>
    <definedName name="Rates1">'Template names'!#REF!</definedName>
    <definedName name="Rates2" localSheetId="17">'Template names'!#REF!</definedName>
    <definedName name="Rates2" localSheetId="18">'Template names'!#REF!</definedName>
    <definedName name="Rates2" localSheetId="19">'Template names'!#REF!</definedName>
    <definedName name="Rates2" localSheetId="20">'Template names'!#REF!</definedName>
    <definedName name="Rates2">'Template names'!#REF!</definedName>
    <definedName name="Rates3" localSheetId="17">'Template names'!#REF!</definedName>
    <definedName name="Rates3" localSheetId="18">'Template names'!#REF!</definedName>
    <definedName name="Rates3" localSheetId="19">'Template names'!#REF!</definedName>
    <definedName name="Rates3" localSheetId="20">'Template names'!#REF!</definedName>
    <definedName name="Rates3">'Template names'!#REF!</definedName>
    <definedName name="REDHHGR06" localSheetId="3">#REF!</definedName>
    <definedName name="REDHHGR06" localSheetId="17">#REF!</definedName>
    <definedName name="REDHHGR06" localSheetId="18">#REF!</definedName>
    <definedName name="REDHHGR06" localSheetId="19">#REF!</definedName>
    <definedName name="REDHHGR06" localSheetId="20">#REF!</definedName>
    <definedName name="REDHHGR06">#REF!</definedName>
    <definedName name="redhhgr07" localSheetId="3">#REF!</definedName>
    <definedName name="redhhgr07" localSheetId="17">#REF!</definedName>
    <definedName name="redhhgr07" localSheetId="18">#REF!</definedName>
    <definedName name="redhhgr07" localSheetId="19">#REF!</definedName>
    <definedName name="redhhgr07" localSheetId="20">#REF!</definedName>
    <definedName name="redhhgr07">#REF!</definedName>
    <definedName name="redrev06" localSheetId="3">#REF!</definedName>
    <definedName name="redrev06" localSheetId="17">#REF!</definedName>
    <definedName name="redrev06" localSheetId="18">#REF!</definedName>
    <definedName name="redrev06" localSheetId="19">#REF!</definedName>
    <definedName name="redrev06" localSheetId="20">#REF!</definedName>
    <definedName name="redrev06">#REF!</definedName>
    <definedName name="redrev07" localSheetId="3">#REF!</definedName>
    <definedName name="redrev07" localSheetId="17">#REF!</definedName>
    <definedName name="redrev07" localSheetId="18">#REF!</definedName>
    <definedName name="redrev07" localSheetId="19">#REF!</definedName>
    <definedName name="redrev07" localSheetId="20">#REF!</definedName>
    <definedName name="redrev07">#REF!</definedName>
    <definedName name="Reds" localSheetId="3">#REF!</definedName>
    <definedName name="Reds" localSheetId="17">#REF!</definedName>
    <definedName name="Reds" localSheetId="18">#REF!</definedName>
    <definedName name="Reds" localSheetId="19">#REF!</definedName>
    <definedName name="Reds" localSheetId="20">#REF!</definedName>
    <definedName name="Reds">#REF!</definedName>
    <definedName name="renewyears">#REF!</definedName>
    <definedName name="Request0506" localSheetId="3">#REF!</definedName>
    <definedName name="Request0506" localSheetId="17">#REF!</definedName>
    <definedName name="Request0506" localSheetId="18">#REF!</definedName>
    <definedName name="Request0506" localSheetId="19">#REF!</definedName>
    <definedName name="Request0506" localSheetId="20">#REF!</definedName>
    <definedName name="Request0506">#REF!</definedName>
    <definedName name="resiprop">#REF!</definedName>
    <definedName name="result">'Template names'!$B$36</definedName>
    <definedName name="rmcRED06" localSheetId="3">#REF!</definedName>
    <definedName name="rmcRED06" localSheetId="17">#REF!</definedName>
    <definedName name="rmcRED06" localSheetId="18">#REF!</definedName>
    <definedName name="rmcRED06" localSheetId="19">#REF!</definedName>
    <definedName name="rmcRED06" localSheetId="20">#REF!</definedName>
    <definedName name="rmcRED06">#REF!</definedName>
    <definedName name="rmcred07" localSheetId="3">#REF!</definedName>
    <definedName name="rmcred07" localSheetId="17">#REF!</definedName>
    <definedName name="rmcred07" localSheetId="18">#REF!</definedName>
    <definedName name="rmcred07" localSheetId="19">#REF!</definedName>
    <definedName name="rmcred07" localSheetId="20">#REF!</definedName>
    <definedName name="rmcred07">#REF!</definedName>
    <definedName name="roundfactor" localSheetId="3">#REF!</definedName>
    <definedName name="roundfactor" localSheetId="17">#REF!</definedName>
    <definedName name="roundfactor" localSheetId="18">#REF!</definedName>
    <definedName name="roundfactor" localSheetId="19">#REF!</definedName>
    <definedName name="roundfactor" localSheetId="20">#REF!</definedName>
    <definedName name="roundfactor">#REF!</definedName>
    <definedName name="S71A" localSheetId="3">'[1]Template names'!#REF!</definedName>
    <definedName name="S71A" localSheetId="17">'Template names'!#REF!</definedName>
    <definedName name="S71A" localSheetId="18">'Template names'!#REF!</definedName>
    <definedName name="S71A" localSheetId="19">'Template names'!#REF!</definedName>
    <definedName name="S71A" localSheetId="20">'Template names'!#REF!</definedName>
    <definedName name="S71A">'Template names'!#REF!</definedName>
    <definedName name="S71B" localSheetId="3">'[1]Template names'!#REF!</definedName>
    <definedName name="S71B" localSheetId="17">'Template names'!#REF!</definedName>
    <definedName name="S71B" localSheetId="18">'Template names'!#REF!</definedName>
    <definedName name="S71B" localSheetId="19">'Template names'!#REF!</definedName>
    <definedName name="S71B" localSheetId="20">'Template names'!#REF!</definedName>
    <definedName name="S71B">'Template names'!#REF!</definedName>
    <definedName name="s71B8" localSheetId="3">'[1]Template names'!#REF!</definedName>
    <definedName name="s71B8" localSheetId="17">'Template names'!#REF!</definedName>
    <definedName name="s71B8" localSheetId="18">'Template names'!#REF!</definedName>
    <definedName name="s71B8" localSheetId="19">'Template names'!#REF!</definedName>
    <definedName name="s71B8" localSheetId="20">'Template names'!#REF!</definedName>
    <definedName name="s71B8">'Template names'!#REF!</definedName>
    <definedName name="s71B9" localSheetId="3">'[1]Template names'!#REF!</definedName>
    <definedName name="s71B9" localSheetId="17">'Template names'!#REF!</definedName>
    <definedName name="s71B9" localSheetId="18">'Template names'!#REF!</definedName>
    <definedName name="s71B9" localSheetId="19">'Template names'!#REF!</definedName>
    <definedName name="s71B9" localSheetId="20">'Template names'!#REF!</definedName>
    <definedName name="s71B9">'Template names'!#REF!</definedName>
    <definedName name="S71C" localSheetId="3">'[1]Template names'!#REF!</definedName>
    <definedName name="S71C" localSheetId="17">'Template names'!#REF!</definedName>
    <definedName name="S71C" localSheetId="18">'Template names'!#REF!</definedName>
    <definedName name="S71C" localSheetId="19">'Template names'!#REF!</definedName>
    <definedName name="S71C" localSheetId="20">'Template names'!#REF!</definedName>
    <definedName name="S71C">'Template names'!#REF!</definedName>
    <definedName name="S71D" localSheetId="3">'[1]Template names'!#REF!</definedName>
    <definedName name="S71D" localSheetId="17">'Template names'!#REF!</definedName>
    <definedName name="S71D" localSheetId="18">'Template names'!#REF!</definedName>
    <definedName name="S71D" localSheetId="19">'Template names'!#REF!</definedName>
    <definedName name="S71D" localSheetId="20">'Template names'!#REF!</definedName>
    <definedName name="S71D">'Template names'!#REF!</definedName>
    <definedName name="S71E" localSheetId="3">'[1]Template names'!#REF!</definedName>
    <definedName name="S71E" localSheetId="17">'Template names'!#REF!</definedName>
    <definedName name="S71E" localSheetId="18">'Template names'!#REF!</definedName>
    <definedName name="S71E" localSheetId="19">'Template names'!#REF!</definedName>
    <definedName name="S71E" localSheetId="20">'Template names'!#REF!</definedName>
    <definedName name="S71E">'Template names'!#REF!</definedName>
    <definedName name="S71F" localSheetId="3">'[1]Template names'!#REF!</definedName>
    <definedName name="S71F" localSheetId="17">'Template names'!#REF!</definedName>
    <definedName name="S71F" localSheetId="18">'Template names'!#REF!</definedName>
    <definedName name="S71F" localSheetId="19">'Template names'!#REF!</definedName>
    <definedName name="S71F" localSheetId="20">'Template names'!#REF!</definedName>
    <definedName name="S71F">'Template names'!#REF!</definedName>
    <definedName name="S71G" localSheetId="3">'[1]Template names'!#REF!</definedName>
    <definedName name="S71G" localSheetId="17">'Template names'!#REF!</definedName>
    <definedName name="S71G" localSheetId="18">'Template names'!#REF!</definedName>
    <definedName name="S71G" localSheetId="19">'Template names'!#REF!</definedName>
    <definedName name="S71G" localSheetId="20">'Template names'!#REF!</definedName>
    <definedName name="S71G">'Template names'!#REF!</definedName>
    <definedName name="S71H" localSheetId="3">'[1]Template names'!#REF!</definedName>
    <definedName name="S71H" localSheetId="17">'Template names'!#REF!</definedName>
    <definedName name="S71H" localSheetId="18">'Template names'!#REF!</definedName>
    <definedName name="S71H" localSheetId="19">'Template names'!#REF!</definedName>
    <definedName name="S71H" localSheetId="20">'Template names'!#REF!</definedName>
    <definedName name="S71H">'Template names'!#REF!</definedName>
    <definedName name="S71I" localSheetId="3">'[1]Template names'!#REF!</definedName>
    <definedName name="S71I" localSheetId="17">'Template names'!#REF!</definedName>
    <definedName name="S71I" localSheetId="18">'Template names'!#REF!</definedName>
    <definedName name="S71I" localSheetId="19">'Template names'!#REF!</definedName>
    <definedName name="S71I" localSheetId="20">'Template names'!#REF!</definedName>
    <definedName name="S71I">'Template names'!#REF!</definedName>
    <definedName name="S71J" localSheetId="3">'[1]Template names'!#REF!</definedName>
    <definedName name="S71J" localSheetId="17">'Template names'!#REF!</definedName>
    <definedName name="S71J" localSheetId="18">'Template names'!#REF!</definedName>
    <definedName name="S71J" localSheetId="19">'Template names'!#REF!</definedName>
    <definedName name="S71J" localSheetId="20">'Template names'!#REF!</definedName>
    <definedName name="S71J">'Template names'!#REF!</definedName>
    <definedName name="S71K" localSheetId="3">'[1]Template names'!#REF!</definedName>
    <definedName name="S71K" localSheetId="17">'Template names'!#REF!</definedName>
    <definedName name="S71K" localSheetId="18">'Template names'!#REF!</definedName>
    <definedName name="S71K" localSheetId="19">'Template names'!#REF!</definedName>
    <definedName name="S71K" localSheetId="20">'Template names'!#REF!</definedName>
    <definedName name="S71K">'Template names'!#REF!</definedName>
    <definedName name="S71L" localSheetId="3">'[1]Template names'!#REF!</definedName>
    <definedName name="S71L" localSheetId="17">'Template names'!#REF!</definedName>
    <definedName name="S71L" localSheetId="18">'Template names'!#REF!</definedName>
    <definedName name="S71L" localSheetId="19">'Template names'!#REF!</definedName>
    <definedName name="S71L" localSheetId="20">'Template names'!#REF!</definedName>
    <definedName name="S71L">'Template names'!#REF!</definedName>
    <definedName name="S71M" localSheetId="3">'[1]Template names'!#REF!</definedName>
    <definedName name="S71M" localSheetId="17">'Template names'!#REF!</definedName>
    <definedName name="S71M" localSheetId="18">'Template names'!#REF!</definedName>
    <definedName name="S71M" localSheetId="19">'Template names'!#REF!</definedName>
    <definedName name="S71M" localSheetId="20">'Template names'!#REF!</definedName>
    <definedName name="S71M">'Template names'!#REF!</definedName>
    <definedName name="S71N" localSheetId="3">'[1]Template names'!#REF!</definedName>
    <definedName name="S71N" localSheetId="17">'Template names'!#REF!</definedName>
    <definedName name="S71N" localSheetId="18">'Template names'!#REF!</definedName>
    <definedName name="S71N" localSheetId="19">'Template names'!#REF!</definedName>
    <definedName name="S71N" localSheetId="20">'Template names'!#REF!</definedName>
    <definedName name="S71N">'Template names'!#REF!</definedName>
    <definedName name="S71O" localSheetId="3">'[1]Template names'!#REF!</definedName>
    <definedName name="S71O" localSheetId="17">'Template names'!#REF!</definedName>
    <definedName name="S71O" localSheetId="18">'Template names'!#REF!</definedName>
    <definedName name="S71O" localSheetId="19">'Template names'!#REF!</definedName>
    <definedName name="S71O" localSheetId="20">'Template names'!#REF!</definedName>
    <definedName name="S71O">'Template names'!#REF!</definedName>
    <definedName name="S71P" localSheetId="3">'[1]Template names'!#REF!</definedName>
    <definedName name="S71P" localSheetId="17">'Template names'!#REF!</definedName>
    <definedName name="S71P" localSheetId="18">'Template names'!#REF!</definedName>
    <definedName name="S71P" localSheetId="19">'Template names'!#REF!</definedName>
    <definedName name="S71P" localSheetId="20">'Template names'!#REF!</definedName>
    <definedName name="S71P">'Template names'!#REF!</definedName>
    <definedName name="S71Q" localSheetId="3">'[1]Template names'!#REF!</definedName>
    <definedName name="S71Q" localSheetId="17">'Template names'!#REF!</definedName>
    <definedName name="S71Q" localSheetId="18">'Template names'!#REF!</definedName>
    <definedName name="S71Q" localSheetId="19">'Template names'!#REF!</definedName>
    <definedName name="S71Q" localSheetId="20">'Template names'!#REF!</definedName>
    <definedName name="S71Q">'Template names'!#REF!</definedName>
    <definedName name="S71SDBIP" localSheetId="3">'[1]Template names'!#REF!</definedName>
    <definedName name="S71SDBIP" localSheetId="17">'Template names'!#REF!</definedName>
    <definedName name="S71SDBIP" localSheetId="18">'Template names'!#REF!</definedName>
    <definedName name="S71SDBIP" localSheetId="19">'Template names'!#REF!</definedName>
    <definedName name="S71SDBIP" localSheetId="20">'Template names'!#REF!</definedName>
    <definedName name="S71SDBIP">'Template names'!#REF!</definedName>
    <definedName name="s71sum" localSheetId="3">'[1]Template names'!#REF!</definedName>
    <definedName name="s71sum" localSheetId="17">'Template names'!#REF!</definedName>
    <definedName name="s71sum" localSheetId="18">'Template names'!#REF!</definedName>
    <definedName name="s71sum" localSheetId="19">'Template names'!#REF!</definedName>
    <definedName name="s71sum" localSheetId="20">'Template names'!#REF!</definedName>
    <definedName name="s71sum">'Template names'!#REF!</definedName>
    <definedName name="Scale" localSheetId="17">'Template names'!#REF!</definedName>
    <definedName name="Scale" localSheetId="18">'Template names'!#REF!</definedName>
    <definedName name="Scale" localSheetId="19">'Template names'!#REF!</definedName>
    <definedName name="Scale" localSheetId="20">'Template names'!#REF!</definedName>
    <definedName name="Scale">'Template names'!#REF!</definedName>
    <definedName name="scenario" localSheetId="3">#REF!</definedName>
    <definedName name="scenario" localSheetId="17">#REF!</definedName>
    <definedName name="scenario" localSheetId="18">#REF!</definedName>
    <definedName name="scenario" localSheetId="19">#REF!</definedName>
    <definedName name="scenario" localSheetId="20">#REF!</definedName>
    <definedName name="scenario">#REF!</definedName>
    <definedName name="Sch1a" localSheetId="17">'Template names'!#REF!</definedName>
    <definedName name="Sch1a" localSheetId="18">'Template names'!#REF!</definedName>
    <definedName name="Sch1a" localSheetId="19">'Template names'!#REF!</definedName>
    <definedName name="Sch1a" localSheetId="20">'Template names'!#REF!</definedName>
    <definedName name="Sch1a">'Template names'!#REF!</definedName>
    <definedName name="Sch2N" localSheetId="17">'Template names'!#REF!</definedName>
    <definedName name="Sch2N" localSheetId="18">'Template names'!#REF!</definedName>
    <definedName name="Sch2N" localSheetId="19">'Template names'!#REF!</definedName>
    <definedName name="Sch2N" localSheetId="20">'Template names'!#REF!</definedName>
    <definedName name="Sch2N">'Template names'!#REF!</definedName>
    <definedName name="Sch5N" localSheetId="17">'Template names'!#REF!</definedName>
    <definedName name="Sch5N" localSheetId="18">'Template names'!#REF!</definedName>
    <definedName name="Sch5N" localSheetId="19">'Template names'!#REF!</definedName>
    <definedName name="Sch5N" localSheetId="20">'Template names'!#REF!</definedName>
    <definedName name="Sch5N">'Template names'!#REF!</definedName>
    <definedName name="Sch7N" localSheetId="17">'Template names'!#REF!</definedName>
    <definedName name="Sch7N" localSheetId="18">'Template names'!#REF!</definedName>
    <definedName name="Sch7N" localSheetId="19">'Template names'!#REF!</definedName>
    <definedName name="Sch7N" localSheetId="20">'Template names'!#REF!</definedName>
    <definedName name="Sch7N">'Template names'!#REF!</definedName>
    <definedName name="SDBIP1" localSheetId="3">'[1]Template names'!#REF!</definedName>
    <definedName name="SDBIP1" localSheetId="17">'Template names'!#REF!</definedName>
    <definedName name="SDBIP1" localSheetId="18">'Template names'!#REF!</definedName>
    <definedName name="SDBIP1" localSheetId="19">'Template names'!#REF!</definedName>
    <definedName name="SDBIP1" localSheetId="20">'Template names'!#REF!</definedName>
    <definedName name="SDBIP1">'Template names'!#REF!</definedName>
    <definedName name="SDBIP10" localSheetId="3">'[1]Template names'!#REF!</definedName>
    <definedName name="SDBIP10" localSheetId="17">'Template names'!#REF!</definedName>
    <definedName name="SDBIP10" localSheetId="18">'Template names'!#REF!</definedName>
    <definedName name="SDBIP10" localSheetId="19">'Template names'!#REF!</definedName>
    <definedName name="SDBIP10" localSheetId="20">'Template names'!#REF!</definedName>
    <definedName name="SDBIP10">'Template names'!#REF!</definedName>
    <definedName name="SDBIP2" localSheetId="3">'[1]Template names'!#REF!</definedName>
    <definedName name="SDBIP2" localSheetId="17">'Template names'!#REF!</definedName>
    <definedName name="SDBIP2" localSheetId="18">'Template names'!#REF!</definedName>
    <definedName name="SDBIP2" localSheetId="19">'Template names'!#REF!</definedName>
    <definedName name="SDBIP2" localSheetId="20">'Template names'!#REF!</definedName>
    <definedName name="SDBIP2">'Template names'!#REF!</definedName>
    <definedName name="SDBIP3" localSheetId="3">'[1]Template names'!#REF!</definedName>
    <definedName name="SDBIP3" localSheetId="17">'Template names'!#REF!</definedName>
    <definedName name="SDBIP3" localSheetId="18">'Template names'!#REF!</definedName>
    <definedName name="SDBIP3" localSheetId="19">'Template names'!#REF!</definedName>
    <definedName name="SDBIP3" localSheetId="20">'Template names'!#REF!</definedName>
    <definedName name="SDBIP3">'Template names'!#REF!</definedName>
    <definedName name="SDBIP4" localSheetId="3">'[1]Template names'!#REF!</definedName>
    <definedName name="SDBIP4" localSheetId="17">'Template names'!#REF!</definedName>
    <definedName name="SDBIP4" localSheetId="18">'Template names'!#REF!</definedName>
    <definedName name="SDBIP4" localSheetId="19">'Template names'!#REF!</definedName>
    <definedName name="SDBIP4" localSheetId="20">'Template names'!#REF!</definedName>
    <definedName name="SDBIP4">'Template names'!#REF!</definedName>
    <definedName name="SDBIP8" localSheetId="3">'[1]Template names'!#REF!</definedName>
    <definedName name="SDBIP8" localSheetId="17">'Template names'!#REF!</definedName>
    <definedName name="SDBIP8" localSheetId="18">'Template names'!#REF!</definedName>
    <definedName name="SDBIP8" localSheetId="19">'Template names'!#REF!</definedName>
    <definedName name="SDBIP8" localSheetId="20">'Template names'!#REF!</definedName>
    <definedName name="SDBIP8">'Template names'!#REF!</definedName>
    <definedName name="sdcred06">#REF!</definedName>
    <definedName name="SFPerf1">'Template names'!$B$68</definedName>
    <definedName name="SFPerf2">'Template names'!$B$69</definedName>
    <definedName name="SFpos1">'Template names'!$B$70</definedName>
    <definedName name="SFpos2">'Template names'!$B$71</definedName>
    <definedName name="TabC19" localSheetId="17">'Template names'!#REF!</definedName>
    <definedName name="TabC19" localSheetId="18">'Template names'!#REF!</definedName>
    <definedName name="TabC19" localSheetId="19">'Template names'!#REF!</definedName>
    <definedName name="TabC19" localSheetId="20">'Template names'!#REF!</definedName>
    <definedName name="TabC19">'Template names'!#REF!</definedName>
    <definedName name="TabC3" localSheetId="3">'[1]Template names'!#REF!</definedName>
    <definedName name="TabC3" localSheetId="17">'Template names'!#REF!</definedName>
    <definedName name="TabC3" localSheetId="18">'Template names'!#REF!</definedName>
    <definedName name="TabC3" localSheetId="19">'Template names'!#REF!</definedName>
    <definedName name="TabC3" localSheetId="20">'Template names'!#REF!</definedName>
    <definedName name="TabC3">'Template names'!#REF!</definedName>
    <definedName name="TabC4" localSheetId="3">'[1]Template names'!#REF!</definedName>
    <definedName name="TabC4" localSheetId="17">'Template names'!#REF!</definedName>
    <definedName name="TabC4" localSheetId="18">'Template names'!#REF!</definedName>
    <definedName name="TabC4" localSheetId="19">'Template names'!#REF!</definedName>
    <definedName name="TabC4" localSheetId="20">'Template names'!#REF!</definedName>
    <definedName name="TabC4">'Template names'!#REF!</definedName>
    <definedName name="TabC5" localSheetId="3">'[1]Template names'!#REF!</definedName>
    <definedName name="TabC5" localSheetId="17">'Template names'!#REF!</definedName>
    <definedName name="TabC5" localSheetId="18">'Template names'!#REF!</definedName>
    <definedName name="TabC5" localSheetId="19">'Template names'!#REF!</definedName>
    <definedName name="TabC5" localSheetId="20">'Template names'!#REF!</definedName>
    <definedName name="TabC5">'Template names'!#REF!</definedName>
    <definedName name="TabC6" localSheetId="3">'[1]Template names'!#REF!</definedName>
    <definedName name="TabC6" localSheetId="17">'Template names'!#REF!</definedName>
    <definedName name="TabC6" localSheetId="18">'Template names'!#REF!</definedName>
    <definedName name="TabC6" localSheetId="19">'Template names'!#REF!</definedName>
    <definedName name="TabC6" localSheetId="20">'Template names'!#REF!</definedName>
    <definedName name="TabC6">'Template names'!#REF!</definedName>
    <definedName name="Tabc7" localSheetId="3">'[1]Template names'!#REF!</definedName>
    <definedName name="Tabc7" localSheetId="17">'Template names'!#REF!</definedName>
    <definedName name="Tabc7" localSheetId="18">'Template names'!#REF!</definedName>
    <definedName name="Tabc7" localSheetId="19">'Template names'!#REF!</definedName>
    <definedName name="Tabc7" localSheetId="20">'Template names'!#REF!</definedName>
    <definedName name="Tabc7">'Template names'!#REF!</definedName>
    <definedName name="Tabc8" localSheetId="3">'[1]Template names'!#REF!</definedName>
    <definedName name="Tabc8" localSheetId="17">'Template names'!#REF!</definedName>
    <definedName name="Tabc8" localSheetId="18">'Template names'!#REF!</definedName>
    <definedName name="Tabc8" localSheetId="19">'Template names'!#REF!</definedName>
    <definedName name="Tabc8" localSheetId="20">'Template names'!#REF!</definedName>
    <definedName name="Tabc8">'Template names'!#REF!</definedName>
    <definedName name="Tabc9" localSheetId="3">'[1]Template names'!#REF!</definedName>
    <definedName name="Tabc9" localSheetId="17">'Template names'!#REF!</definedName>
    <definedName name="Tabc9" localSheetId="18">'Template names'!#REF!</definedName>
    <definedName name="Tabc9" localSheetId="19">'Template names'!#REF!</definedName>
    <definedName name="Tabc9" localSheetId="20">'Template names'!#REF!</definedName>
    <definedName name="Tabc9">'Template names'!#REF!</definedName>
    <definedName name="Tablc8" localSheetId="3">'[1]Template names'!#REF!</definedName>
    <definedName name="Tablc8" localSheetId="17">'Template names'!#REF!</definedName>
    <definedName name="Tablc8" localSheetId="18">'Template names'!#REF!</definedName>
    <definedName name="Tablc8" localSheetId="19">'Template names'!#REF!</definedName>
    <definedName name="Tablc8" localSheetId="20">'Template names'!#REF!</definedName>
    <definedName name="Tablc8">'Template names'!#REF!</definedName>
    <definedName name="Table1" localSheetId="17">'Template names'!#REF!</definedName>
    <definedName name="Table1" localSheetId="18">'Template names'!#REF!</definedName>
    <definedName name="Table1" localSheetId="19">'Template names'!#REF!</definedName>
    <definedName name="Table1" localSheetId="20">'Template names'!#REF!</definedName>
    <definedName name="Table1">'Template names'!#REF!</definedName>
    <definedName name="Table10" localSheetId="17">'Template names'!#REF!</definedName>
    <definedName name="Table10" localSheetId="18">'Template names'!#REF!</definedName>
    <definedName name="Table10" localSheetId="19">'Template names'!#REF!</definedName>
    <definedName name="Table10" localSheetId="20">'Template names'!#REF!</definedName>
    <definedName name="Table10">'Template names'!#REF!</definedName>
    <definedName name="Table11" localSheetId="17">'Template names'!#REF!</definedName>
    <definedName name="Table11" localSheetId="18">'Template names'!#REF!</definedName>
    <definedName name="Table11" localSheetId="19">'Template names'!#REF!</definedName>
    <definedName name="Table11" localSheetId="20">'Template names'!#REF!</definedName>
    <definedName name="Table11">'Template names'!#REF!</definedName>
    <definedName name="Table12" localSheetId="17">'Template names'!#REF!</definedName>
    <definedName name="Table12" localSheetId="18">'Template names'!#REF!</definedName>
    <definedName name="Table12" localSheetId="19">'Template names'!#REF!</definedName>
    <definedName name="Table12" localSheetId="20">'Template names'!#REF!</definedName>
    <definedName name="Table12">'Template names'!#REF!</definedName>
    <definedName name="Table13" localSheetId="17">'Template names'!#REF!</definedName>
    <definedName name="Table13" localSheetId="18">'Template names'!#REF!</definedName>
    <definedName name="Table13" localSheetId="19">'Template names'!#REF!</definedName>
    <definedName name="Table13" localSheetId="20">'Template names'!#REF!</definedName>
    <definedName name="Table13">'Template names'!#REF!</definedName>
    <definedName name="Table14" localSheetId="17">'Template names'!#REF!</definedName>
    <definedName name="Table14" localSheetId="18">'Template names'!#REF!</definedName>
    <definedName name="Table14" localSheetId="19">'Template names'!#REF!</definedName>
    <definedName name="Table14" localSheetId="20">'Template names'!#REF!</definedName>
    <definedName name="Table14">'Template names'!#REF!</definedName>
    <definedName name="Table14A" localSheetId="17">'Template names'!#REF!</definedName>
    <definedName name="Table14A" localSheetId="18">'Template names'!#REF!</definedName>
    <definedName name="Table14A" localSheetId="19">'Template names'!#REF!</definedName>
    <definedName name="Table14A" localSheetId="20">'Template names'!#REF!</definedName>
    <definedName name="Table14A">'Template names'!#REF!</definedName>
    <definedName name="Table14B" localSheetId="17">'Template names'!#REF!</definedName>
    <definedName name="Table14B" localSheetId="18">'Template names'!#REF!</definedName>
    <definedName name="Table14B" localSheetId="19">'Template names'!#REF!</definedName>
    <definedName name="Table14B" localSheetId="20">'Template names'!#REF!</definedName>
    <definedName name="Table14B">'Template names'!#REF!</definedName>
    <definedName name="Table15" localSheetId="17">'Template names'!#REF!</definedName>
    <definedName name="Table15" localSheetId="18">'Template names'!#REF!</definedName>
    <definedName name="Table15" localSheetId="19">'Template names'!#REF!</definedName>
    <definedName name="Table15" localSheetId="20">'Template names'!#REF!</definedName>
    <definedName name="Table15">'Template names'!#REF!</definedName>
    <definedName name="Table15A" localSheetId="17">'Template names'!#REF!</definedName>
    <definedName name="Table15A" localSheetId="18">'Template names'!#REF!</definedName>
    <definedName name="Table15A" localSheetId="19">'Template names'!#REF!</definedName>
    <definedName name="Table15A" localSheetId="20">'Template names'!#REF!</definedName>
    <definedName name="Table15A">'Template names'!#REF!</definedName>
    <definedName name="Table15New" localSheetId="17">'Template names'!#REF!</definedName>
    <definedName name="Table15New" localSheetId="18">'Template names'!#REF!</definedName>
    <definedName name="Table15New" localSheetId="19">'Template names'!#REF!</definedName>
    <definedName name="Table15New" localSheetId="20">'Template names'!#REF!</definedName>
    <definedName name="Table15New">'Template names'!#REF!</definedName>
    <definedName name="Table16" localSheetId="17">'Template names'!#REF!</definedName>
    <definedName name="Table16" localSheetId="18">'Template names'!#REF!</definedName>
    <definedName name="Table16" localSheetId="19">'Template names'!#REF!</definedName>
    <definedName name="Table16" localSheetId="20">'Template names'!#REF!</definedName>
    <definedName name="Table16">'Template names'!#REF!</definedName>
    <definedName name="Table17" localSheetId="17">'Template names'!#REF!</definedName>
    <definedName name="Table17" localSheetId="18">'Template names'!#REF!</definedName>
    <definedName name="Table17" localSheetId="19">'Template names'!#REF!</definedName>
    <definedName name="Table17" localSheetId="20">'Template names'!#REF!</definedName>
    <definedName name="Table17">'Template names'!#REF!</definedName>
    <definedName name="Table18" localSheetId="17">'Template names'!#REF!</definedName>
    <definedName name="Table18" localSheetId="18">'Template names'!#REF!</definedName>
    <definedName name="Table18" localSheetId="19">'Template names'!#REF!</definedName>
    <definedName name="Table18" localSheetId="20">'Template names'!#REF!</definedName>
    <definedName name="Table18">'Template names'!#REF!</definedName>
    <definedName name="Table19" localSheetId="17">'Template names'!#REF!</definedName>
    <definedName name="Table19" localSheetId="18">'Template names'!#REF!</definedName>
    <definedName name="Table19" localSheetId="19">'Template names'!#REF!</definedName>
    <definedName name="Table19" localSheetId="20">'Template names'!#REF!</definedName>
    <definedName name="Table19">'Template names'!#REF!</definedName>
    <definedName name="Table2" localSheetId="17">'Template names'!#REF!</definedName>
    <definedName name="Table2" localSheetId="18">'Template names'!#REF!</definedName>
    <definedName name="Table2" localSheetId="19">'Template names'!#REF!</definedName>
    <definedName name="Table2" localSheetId="20">'Template names'!#REF!</definedName>
    <definedName name="Table2">'Template names'!#REF!</definedName>
    <definedName name="Table20" localSheetId="17">'Template names'!#REF!</definedName>
    <definedName name="Table20" localSheetId="18">'Template names'!#REF!</definedName>
    <definedName name="Table20" localSheetId="19">'Template names'!#REF!</definedName>
    <definedName name="Table20" localSheetId="20">'Template names'!#REF!</definedName>
    <definedName name="Table20">'Template names'!#REF!</definedName>
    <definedName name="Table21" localSheetId="17">'Template names'!#REF!</definedName>
    <definedName name="Table21" localSheetId="18">'Template names'!#REF!</definedName>
    <definedName name="Table21" localSheetId="19">'Template names'!#REF!</definedName>
    <definedName name="Table21" localSheetId="20">'Template names'!#REF!</definedName>
    <definedName name="Table21">'Template names'!#REF!</definedName>
    <definedName name="Table22" localSheetId="17">'Template names'!#REF!</definedName>
    <definedName name="Table22" localSheetId="18">'Template names'!#REF!</definedName>
    <definedName name="Table22" localSheetId="19">'Template names'!#REF!</definedName>
    <definedName name="Table22" localSheetId="20">'Template names'!#REF!</definedName>
    <definedName name="Table22">'Template names'!#REF!</definedName>
    <definedName name="Table23" localSheetId="17">'Template names'!#REF!</definedName>
    <definedName name="Table23" localSheetId="18">'Template names'!#REF!</definedName>
    <definedName name="Table23" localSheetId="19">'Template names'!#REF!</definedName>
    <definedName name="Table23" localSheetId="20">'Template names'!#REF!</definedName>
    <definedName name="Table23">'Template names'!#REF!</definedName>
    <definedName name="Table24">'Template names'!$B$90</definedName>
    <definedName name="Table24A" localSheetId="17">'Template names'!#REF!</definedName>
    <definedName name="Table24A" localSheetId="18">'Template names'!#REF!</definedName>
    <definedName name="Table24A" localSheetId="19">'Template names'!#REF!</definedName>
    <definedName name="Table24A" localSheetId="20">'Template names'!#REF!</definedName>
    <definedName name="Table24A">'Template names'!#REF!</definedName>
    <definedName name="Table25" localSheetId="17">'Template names'!#REF!</definedName>
    <definedName name="Table25" localSheetId="18">'Template names'!#REF!</definedName>
    <definedName name="Table25" localSheetId="19">'Template names'!#REF!</definedName>
    <definedName name="Table25" localSheetId="20">'Template names'!#REF!</definedName>
    <definedName name="Table25">'Template names'!#REF!</definedName>
    <definedName name="Table26" localSheetId="17">'Template names'!#REF!</definedName>
    <definedName name="Table26" localSheetId="18">'Template names'!#REF!</definedName>
    <definedName name="Table26" localSheetId="19">'Template names'!#REF!</definedName>
    <definedName name="Table26" localSheetId="20">'Template names'!#REF!</definedName>
    <definedName name="Table26">'Template names'!#REF!</definedName>
    <definedName name="Table27" localSheetId="17">'Template names'!#REF!</definedName>
    <definedName name="Table27" localSheetId="18">'Template names'!#REF!</definedName>
    <definedName name="Table27" localSheetId="19">'Template names'!#REF!</definedName>
    <definedName name="Table27" localSheetId="20">'Template names'!#REF!</definedName>
    <definedName name="Table27">'Template names'!#REF!</definedName>
    <definedName name="Table28" localSheetId="17">'Template names'!#REF!</definedName>
    <definedName name="Table28" localSheetId="18">'Template names'!#REF!</definedName>
    <definedName name="Table28" localSheetId="19">'Template names'!#REF!</definedName>
    <definedName name="Table28" localSheetId="20">'Template names'!#REF!</definedName>
    <definedName name="Table28">'Template names'!#REF!</definedName>
    <definedName name="Table29" localSheetId="17">'Template names'!#REF!</definedName>
    <definedName name="Table29" localSheetId="18">'Template names'!#REF!</definedName>
    <definedName name="Table29" localSheetId="19">'Template names'!#REF!</definedName>
    <definedName name="Table29" localSheetId="20">'Template names'!#REF!</definedName>
    <definedName name="Table29">'Template names'!#REF!</definedName>
    <definedName name="Table3" localSheetId="17">'Template names'!#REF!</definedName>
    <definedName name="Table3" localSheetId="18">'Template names'!#REF!</definedName>
    <definedName name="Table3" localSheetId="19">'Template names'!#REF!</definedName>
    <definedName name="Table3" localSheetId="20">'Template names'!#REF!</definedName>
    <definedName name="Table3">'Template names'!#REF!</definedName>
    <definedName name="Table30" localSheetId="17">'Template names'!#REF!</definedName>
    <definedName name="Table30" localSheetId="18">'Template names'!#REF!</definedName>
    <definedName name="Table30" localSheetId="19">'Template names'!#REF!</definedName>
    <definedName name="Table30" localSheetId="20">'Template names'!#REF!</definedName>
    <definedName name="Table30">'Template names'!#REF!</definedName>
    <definedName name="Table31" localSheetId="17">'Template names'!#REF!</definedName>
    <definedName name="Table31" localSheetId="18">'Template names'!#REF!</definedName>
    <definedName name="Table31" localSheetId="19">'Template names'!#REF!</definedName>
    <definedName name="Table31" localSheetId="20">'Template names'!#REF!</definedName>
    <definedName name="Table31">'Template names'!#REF!</definedName>
    <definedName name="Table32" localSheetId="17">'Template names'!#REF!</definedName>
    <definedName name="Table32" localSheetId="18">'Template names'!#REF!</definedName>
    <definedName name="Table32" localSheetId="19">'Template names'!#REF!</definedName>
    <definedName name="Table32" localSheetId="20">'Template names'!#REF!</definedName>
    <definedName name="Table32">'Template names'!#REF!</definedName>
    <definedName name="Table33" localSheetId="17">'Template names'!#REF!</definedName>
    <definedName name="Table33" localSheetId="18">'Template names'!#REF!</definedName>
    <definedName name="Table33" localSheetId="19">'Template names'!#REF!</definedName>
    <definedName name="Table33" localSheetId="20">'Template names'!#REF!</definedName>
    <definedName name="Table33">'Template names'!#REF!</definedName>
    <definedName name="Table4" localSheetId="17">'Template names'!#REF!</definedName>
    <definedName name="Table4" localSheetId="18">'Template names'!#REF!</definedName>
    <definedName name="Table4" localSheetId="19">'Template names'!#REF!</definedName>
    <definedName name="Table4" localSheetId="20">'Template names'!#REF!</definedName>
    <definedName name="Table4">'Template names'!#REF!</definedName>
    <definedName name="Table5" localSheetId="17">'Template names'!#REF!</definedName>
    <definedName name="Table5" localSheetId="18">'Template names'!#REF!</definedName>
    <definedName name="Table5" localSheetId="19">'Template names'!#REF!</definedName>
    <definedName name="Table5" localSheetId="20">'Template names'!#REF!</definedName>
    <definedName name="Table5">'Template names'!#REF!</definedName>
    <definedName name="Table6" localSheetId="17">'Template names'!#REF!</definedName>
    <definedName name="Table6" localSheetId="18">'Template names'!#REF!</definedName>
    <definedName name="Table6" localSheetId="19">'Template names'!#REF!</definedName>
    <definedName name="Table6" localSheetId="20">'Template names'!#REF!</definedName>
    <definedName name="Table6">'Template names'!#REF!</definedName>
    <definedName name="Table7" localSheetId="17">'Template names'!#REF!</definedName>
    <definedName name="Table7" localSheetId="18">'Template names'!#REF!</definedName>
    <definedName name="Table7" localSheetId="19">'Template names'!#REF!</definedName>
    <definedName name="Table7" localSheetId="20">'Template names'!#REF!</definedName>
    <definedName name="Table7">'Template names'!#REF!</definedName>
    <definedName name="Table8" localSheetId="17">'Template names'!#REF!</definedName>
    <definedName name="Table8" localSheetId="18">'Template names'!#REF!</definedName>
    <definedName name="Table8" localSheetId="19">'Template names'!#REF!</definedName>
    <definedName name="Table8" localSheetId="20">'Template names'!#REF!</definedName>
    <definedName name="Table8">'Template names'!#REF!</definedName>
    <definedName name="Table9" localSheetId="17">'Template names'!#REF!</definedName>
    <definedName name="Table9" localSheetId="18">'Template names'!#REF!</definedName>
    <definedName name="Table9" localSheetId="19">'Template names'!#REF!</definedName>
    <definedName name="Table9" localSheetId="20">'Template names'!#REF!</definedName>
    <definedName name="Table9">'Template names'!#REF!</definedName>
    <definedName name="TableA1">#REF!</definedName>
    <definedName name="TableA10">#REF!</definedName>
    <definedName name="TableA11">#REF!</definedName>
    <definedName name="TableA12a">#REF!</definedName>
    <definedName name="TableA12b">#REF!</definedName>
    <definedName name="TableA13a">#REF!</definedName>
    <definedName name="TableA13b">#REF!</definedName>
    <definedName name="TableA14">#REF!</definedName>
    <definedName name="TableA15">#REF!</definedName>
    <definedName name="TableA16">#REF!</definedName>
    <definedName name="TableA17">#REF!</definedName>
    <definedName name="TableA18">#REF!</definedName>
    <definedName name="TableA19">#REF!</definedName>
    <definedName name="TableA2">#REF!</definedName>
    <definedName name="TableA20">#REF!</definedName>
    <definedName name="TableA21">#REF!</definedName>
    <definedName name="TableA22">#REF!</definedName>
    <definedName name="TableA23">#REF!</definedName>
    <definedName name="TableA24">'Template names'!$B$139</definedName>
    <definedName name="TableA25">#REF!</definedName>
    <definedName name="TableA26">#REF!</definedName>
    <definedName name="TableA27">#REF!</definedName>
    <definedName name="TableA28">#REF!</definedName>
    <definedName name="TableA29">#REF!</definedName>
    <definedName name="TableA3">#REF!</definedName>
    <definedName name="TableA30">#REF!</definedName>
    <definedName name="TableA31">#REF!</definedName>
    <definedName name="TableA32">#REF!</definedName>
    <definedName name="TableA33">#REF!</definedName>
    <definedName name="TableA34a">#REF!</definedName>
    <definedName name="TableA34b">#REF!</definedName>
    <definedName name="TableA34c">#REF!</definedName>
    <definedName name="TableA34d">#REF!</definedName>
    <definedName name="TableA34e">#REF!</definedName>
    <definedName name="TableA35">#REF!</definedName>
    <definedName name="TableA36">#REF!</definedName>
    <definedName name="TableA37">#REF!</definedName>
    <definedName name="TableA38">#REF!</definedName>
    <definedName name="TableA4">#REF!</definedName>
    <definedName name="TableA5">#REF!</definedName>
    <definedName name="TableA6">#REF!</definedName>
    <definedName name="TableA7">#REF!</definedName>
    <definedName name="TableA8">#REF!</definedName>
    <definedName name="TableA9">#REF!</definedName>
    <definedName name="TableD7" localSheetId="3">'[1]Template names'!#REF!</definedName>
    <definedName name="TableD7">'Template names'!$B$97</definedName>
    <definedName name="TableD8" localSheetId="3">'[1]Template names'!#REF!</definedName>
    <definedName name="TableD8">'Template names'!$B$98</definedName>
    <definedName name="TableE4" localSheetId="3">'[1]Template names'!#REF!</definedName>
    <definedName name="TableE4" localSheetId="17">'Template names'!#REF!</definedName>
    <definedName name="TableE4" localSheetId="18">'Template names'!#REF!</definedName>
    <definedName name="TableE4" localSheetId="19">'Template names'!#REF!</definedName>
    <definedName name="TableE4" localSheetId="20">'Template names'!#REF!</definedName>
    <definedName name="TableE4">'Template names'!#REF!</definedName>
    <definedName name="TableE7" localSheetId="3">'[1]Template names'!#REF!</definedName>
    <definedName name="TableE7" localSheetId="17">'Template names'!#REF!</definedName>
    <definedName name="TableE7" localSheetId="18">'Template names'!#REF!</definedName>
    <definedName name="TableE7" localSheetId="19">'Template names'!#REF!</definedName>
    <definedName name="TableE7" localSheetId="20">'Template names'!#REF!</definedName>
    <definedName name="TableE7">'Template names'!#REF!</definedName>
    <definedName name="TableE9" localSheetId="3">'[1]Template names'!#REF!</definedName>
    <definedName name="TableE9" localSheetId="17">'Template names'!#REF!</definedName>
    <definedName name="TableE9" localSheetId="18">'Template names'!#REF!</definedName>
    <definedName name="TableE9" localSheetId="19">'Template names'!#REF!</definedName>
    <definedName name="TableE9" localSheetId="20">'Template names'!#REF!</definedName>
    <definedName name="TableE9">'Template names'!#REF!</definedName>
    <definedName name="TableF6" localSheetId="3">'[1]Template names'!#REF!</definedName>
    <definedName name="TableF6" localSheetId="17">'Template names'!#REF!</definedName>
    <definedName name="TableF6" localSheetId="18">'Template names'!#REF!</definedName>
    <definedName name="TableF6" localSheetId="19">'Template names'!#REF!</definedName>
    <definedName name="TableF6" localSheetId="20">'Template names'!#REF!</definedName>
    <definedName name="TableF6">'Template names'!#REF!</definedName>
    <definedName name="tariffdisc05" localSheetId="3">#REF!</definedName>
    <definedName name="tariffdisc05" localSheetId="17">#REF!</definedName>
    <definedName name="tariffdisc05" localSheetId="18">#REF!</definedName>
    <definedName name="tariffdisc05" localSheetId="19">#REF!</definedName>
    <definedName name="tariffdisc05" localSheetId="20">#REF!</definedName>
    <definedName name="tariffdisc05">#REF!</definedName>
    <definedName name="tariffdisc06">#REF!</definedName>
    <definedName name="tariffdisc07">#REF!</definedName>
    <definedName name="tariffdisc08">#REF!</definedName>
    <definedName name="tariffdisc09">#REF!</definedName>
    <definedName name="tariffdisc10">#REF!</definedName>
    <definedName name="tariffdisc11">#REF!</definedName>
    <definedName name="tariffdisc12">#REF!</definedName>
    <definedName name="tariffdisc13">#REF!</definedName>
    <definedName name="tariffdisc14">#REF!</definedName>
    <definedName name="tariffdisc15">#REF!</definedName>
    <definedName name="tariffdisc16">#REF!</definedName>
    <definedName name="tariffdisc17">#REF!</definedName>
    <definedName name="tariffdisc18">#REF!</definedName>
    <definedName name="tariffdisc19">#REF!</definedName>
    <definedName name="tariffdisc20">#REF!</definedName>
    <definedName name="title1">#REF!</definedName>
    <definedName name="Vdesc">'Template names'!$B$33</definedName>
    <definedName name="Vote">'[5]Org structure'!$A$2:$A$16</definedName>
    <definedName name="Vote1">'[5]Org structure'!$D$3:$D$12</definedName>
    <definedName name="Vote10">'[5]Org structure'!$D$102:$D$111</definedName>
    <definedName name="Vote11">'[5]Org structure'!$D$113:$D$122</definedName>
    <definedName name="Vote12">'[5]Org structure'!$D$124:$D$133</definedName>
    <definedName name="Vote13">'[5]Org structure'!$D$135:$D$144</definedName>
    <definedName name="Vote14">'[5]Org structure'!$D$146:$D$155</definedName>
    <definedName name="Vote15">'[5]Org structure'!$D$157:$D$166</definedName>
    <definedName name="Vote2">'[5]Org structure'!$D$14:$D$23</definedName>
    <definedName name="Vote3">'[5]Org structure'!$D$25:$D$34</definedName>
    <definedName name="Vote4">'[5]Org structure'!$D$36:$D$45</definedName>
    <definedName name="Vote5">'[5]Org structure'!$D$47:$D$56</definedName>
    <definedName name="Vote6">'[5]Org structure'!$D$58:$D$67</definedName>
    <definedName name="Vote7">'[5]Org structure'!$D$69:$D$78</definedName>
    <definedName name="Vote8">'[5]Org structure'!$D$80:$D$89</definedName>
    <definedName name="Vote9">'[5]Org structure'!$D$91:$D$100</definedName>
    <definedName name="yrend">[3]Data!$B$3</definedName>
  </definedNames>
  <calcPr calcId="191029"/>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145" i="284" l="1"/>
  <c r="K145" i="284" s="1"/>
  <c r="J150" i="284"/>
  <c r="K150" i="284" s="1"/>
  <c r="J153" i="284"/>
  <c r="K153" i="284" s="1"/>
  <c r="J33" i="65"/>
  <c r="K33" i="65" s="1"/>
  <c r="F34" i="200" l="1"/>
  <c r="H34" i="200"/>
  <c r="G34" i="200"/>
  <c r="I14" i="200"/>
  <c r="H25" i="65" l="1"/>
  <c r="G33" i="65"/>
  <c r="J26" i="199" l="1"/>
  <c r="K26" i="199" s="1"/>
  <c r="H26" i="199"/>
  <c r="D25" i="285" l="1"/>
  <c r="H156" i="344"/>
  <c r="H153" i="344"/>
  <c r="H150" i="344"/>
  <c r="H145" i="344"/>
  <c r="H120" i="344"/>
  <c r="H159" i="342"/>
  <c r="H150" i="342"/>
  <c r="H120" i="342"/>
  <c r="H156" i="284"/>
  <c r="H153" i="284"/>
  <c r="H150" i="284"/>
  <c r="H145" i="284"/>
  <c r="H120" i="284"/>
  <c r="H50" i="285"/>
  <c r="H42" i="285"/>
  <c r="H43" i="285"/>
  <c r="H41" i="285"/>
  <c r="H25" i="285"/>
  <c r="H16" i="285"/>
  <c r="H8" i="285"/>
  <c r="H25" i="199"/>
  <c r="H24" i="199"/>
  <c r="H23" i="199"/>
  <c r="H20" i="199"/>
  <c r="H19" i="199"/>
  <c r="H18" i="199"/>
  <c r="H17" i="199"/>
  <c r="H16" i="199"/>
  <c r="H15" i="199"/>
  <c r="H14" i="199"/>
  <c r="H8" i="199"/>
  <c r="H9" i="199"/>
  <c r="H10" i="199"/>
  <c r="H11" i="199"/>
  <c r="H7" i="199"/>
  <c r="J14" i="200"/>
  <c r="D32" i="201"/>
  <c r="D9" i="201"/>
  <c r="D6" i="201"/>
  <c r="H32" i="201"/>
  <c r="H30" i="201"/>
  <c r="H27" i="200"/>
  <c r="H15" i="200"/>
  <c r="H14" i="200"/>
  <c r="H11" i="200"/>
  <c r="H10" i="200"/>
  <c r="H9" i="200"/>
  <c r="H8" i="200"/>
  <c r="H45" i="201"/>
  <c r="H22" i="201"/>
  <c r="H19" i="201"/>
  <c r="H6" i="201"/>
  <c r="H172" i="202"/>
  <c r="H33" i="65"/>
  <c r="H31" i="65"/>
  <c r="H28" i="65"/>
  <c r="H27" i="65"/>
  <c r="H24" i="65"/>
  <c r="H19" i="65"/>
  <c r="H18" i="65"/>
  <c r="H12" i="65"/>
  <c r="J156" i="344"/>
  <c r="K156" i="344" s="1"/>
  <c r="J153" i="344"/>
  <c r="K153" i="344" s="1"/>
  <c r="J150" i="344"/>
  <c r="K150" i="344" s="1"/>
  <c r="J145" i="344"/>
  <c r="K145" i="344" s="1"/>
  <c r="J120" i="344"/>
  <c r="K120" i="344" s="1"/>
  <c r="J159" i="342"/>
  <c r="K159" i="342" s="1"/>
  <c r="J150" i="342"/>
  <c r="K150" i="342" s="1"/>
  <c r="J120" i="342"/>
  <c r="K120" i="342" s="1"/>
  <c r="J156" i="284"/>
  <c r="K156" i="284" s="1"/>
  <c r="J120" i="284"/>
  <c r="K120" i="284" s="1"/>
  <c r="J50" i="285" l="1"/>
  <c r="K50" i="285" s="1"/>
  <c r="J42" i="285"/>
  <c r="K42" i="285" s="1"/>
  <c r="J41" i="285"/>
  <c r="K41" i="285" s="1"/>
  <c r="J43" i="285"/>
  <c r="K43" i="285" s="1"/>
  <c r="J25" i="285"/>
  <c r="K25" i="285" s="1"/>
  <c r="J16" i="285"/>
  <c r="K16" i="285" s="1"/>
  <c r="J8" i="285"/>
  <c r="K8" i="285" s="1"/>
  <c r="J25" i="199"/>
  <c r="K25" i="199" s="1"/>
  <c r="J24" i="199"/>
  <c r="K24" i="199" s="1"/>
  <c r="J23" i="199"/>
  <c r="K23" i="199" s="1"/>
  <c r="J20" i="199"/>
  <c r="K20" i="199" s="1"/>
  <c r="J19" i="199"/>
  <c r="K19" i="199" s="1"/>
  <c r="J18" i="199"/>
  <c r="K18" i="199" s="1"/>
  <c r="J17" i="199"/>
  <c r="K17" i="199" s="1"/>
  <c r="J16" i="199"/>
  <c r="K16" i="199" s="1"/>
  <c r="J15" i="199"/>
  <c r="K15" i="199" s="1"/>
  <c r="J14" i="199"/>
  <c r="K14" i="199" s="1"/>
  <c r="J11" i="199"/>
  <c r="K11" i="199" s="1"/>
  <c r="J10" i="199"/>
  <c r="K10" i="199" s="1"/>
  <c r="J9" i="199"/>
  <c r="K9" i="199" s="1"/>
  <c r="J8" i="199"/>
  <c r="K8" i="199" s="1"/>
  <c r="J7" i="199"/>
  <c r="K7" i="199" s="1"/>
  <c r="J27" i="200" l="1"/>
  <c r="K27" i="200" s="1"/>
  <c r="J11" i="200"/>
  <c r="K11" i="200" s="1"/>
  <c r="J15" i="200"/>
  <c r="K15" i="200" s="1"/>
  <c r="J9" i="200"/>
  <c r="K9" i="200" s="1"/>
  <c r="J8" i="200"/>
  <c r="K8" i="200" s="1"/>
  <c r="K14" i="200"/>
  <c r="J45" i="201"/>
  <c r="K45" i="201" s="1"/>
  <c r="J22" i="201"/>
  <c r="K22" i="201" s="1"/>
  <c r="J19" i="201"/>
  <c r="K19" i="201" s="1"/>
  <c r="J6" i="201"/>
  <c r="K6" i="201" s="1"/>
  <c r="J31" i="65"/>
  <c r="K31" i="65" s="1"/>
  <c r="J28" i="65"/>
  <c r="K28" i="65" s="1"/>
  <c r="J27" i="65"/>
  <c r="K27" i="65" s="1"/>
  <c r="J25" i="65"/>
  <c r="K25" i="65" s="1"/>
  <c r="J24" i="65"/>
  <c r="K24" i="65" s="1"/>
  <c r="J6" i="279" l="1"/>
  <c r="I6" i="279"/>
  <c r="H6" i="279"/>
  <c r="G6" i="279"/>
  <c r="F6" i="279"/>
  <c r="E6" i="279"/>
  <c r="D6" i="279"/>
  <c r="C6" i="279"/>
  <c r="B6" i="279"/>
  <c r="L22" i="204" l="1"/>
  <c r="K22" i="204"/>
  <c r="J22" i="204"/>
  <c r="I22" i="204"/>
  <c r="H22" i="204"/>
  <c r="G22" i="204"/>
  <c r="F22" i="204"/>
  <c r="E22" i="204"/>
  <c r="D22" i="204"/>
  <c r="C22" i="204"/>
  <c r="B22" i="204"/>
  <c r="K48" i="201"/>
  <c r="J48" i="201"/>
  <c r="I48" i="201"/>
  <c r="H48" i="201"/>
  <c r="G48" i="201"/>
  <c r="F48" i="201"/>
  <c r="E48" i="201"/>
  <c r="D48" i="201"/>
  <c r="C48" i="201"/>
  <c r="K24" i="201"/>
  <c r="J24" i="201"/>
  <c r="I24" i="201"/>
  <c r="H24" i="201"/>
  <c r="G24" i="201"/>
  <c r="F24" i="201"/>
  <c r="E24" i="201"/>
  <c r="D24" i="201"/>
  <c r="C24" i="201"/>
  <c r="K21" i="65"/>
  <c r="J21" i="65"/>
  <c r="I21" i="65"/>
  <c r="H21" i="65"/>
  <c r="G21" i="65"/>
  <c r="F21" i="65"/>
  <c r="E21" i="65"/>
  <c r="D21" i="65"/>
  <c r="C21" i="65"/>
  <c r="J13" i="279" l="1"/>
  <c r="I13" i="279"/>
  <c r="H13" i="279"/>
  <c r="G13" i="279"/>
  <c r="F13" i="279"/>
  <c r="E13" i="279"/>
  <c r="D13" i="279"/>
  <c r="C13" i="279"/>
  <c r="B13" i="279"/>
  <c r="B308" i="346" l="1"/>
  <c r="B28" i="346"/>
  <c r="O24" i="346"/>
  <c r="N24" i="346"/>
  <c r="M24" i="346"/>
  <c r="L24" i="346"/>
  <c r="K24" i="346"/>
  <c r="J24" i="346"/>
  <c r="I24" i="346"/>
  <c r="H24" i="346"/>
  <c r="G24" i="346"/>
  <c r="F24" i="346"/>
  <c r="E24" i="346"/>
  <c r="A24" i="346"/>
  <c r="O23" i="346"/>
  <c r="N23" i="346"/>
  <c r="M23" i="346"/>
  <c r="L23" i="346"/>
  <c r="K23" i="346"/>
  <c r="J23" i="346"/>
  <c r="I23" i="346"/>
  <c r="H23" i="346"/>
  <c r="G23" i="346"/>
  <c r="F23" i="346"/>
  <c r="E23" i="346"/>
  <c r="O22" i="346"/>
  <c r="N22" i="346"/>
  <c r="M22" i="346"/>
  <c r="L22" i="346"/>
  <c r="K22" i="346"/>
  <c r="J22" i="346"/>
  <c r="I22" i="346"/>
  <c r="H22" i="346"/>
  <c r="G22" i="346"/>
  <c r="F22" i="346"/>
  <c r="E22" i="346"/>
  <c r="A22" i="346"/>
  <c r="O21" i="346"/>
  <c r="N21" i="346"/>
  <c r="M21" i="346"/>
  <c r="L21" i="346"/>
  <c r="K21" i="346"/>
  <c r="J21" i="346"/>
  <c r="I21" i="346"/>
  <c r="H21" i="346"/>
  <c r="G21" i="346"/>
  <c r="F21" i="346"/>
  <c r="E21" i="346"/>
  <c r="A21" i="346"/>
  <c r="O20" i="346"/>
  <c r="N20" i="346"/>
  <c r="M20" i="346"/>
  <c r="L20" i="346"/>
  <c r="K20" i="346"/>
  <c r="J20" i="346"/>
  <c r="I20" i="346"/>
  <c r="H20" i="346"/>
  <c r="G20" i="346"/>
  <c r="F20" i="346"/>
  <c r="E20" i="346"/>
  <c r="A20" i="346"/>
  <c r="O19" i="346"/>
  <c r="N19" i="346"/>
  <c r="M19" i="346"/>
  <c r="L19" i="346"/>
  <c r="K19" i="346"/>
  <c r="J19" i="346"/>
  <c r="I19" i="346"/>
  <c r="H19" i="346"/>
  <c r="G19" i="346"/>
  <c r="F19" i="346"/>
  <c r="E19" i="346"/>
  <c r="A19" i="346"/>
  <c r="O18" i="346"/>
  <c r="N18" i="346"/>
  <c r="M18" i="346"/>
  <c r="L18" i="346"/>
  <c r="K18" i="346"/>
  <c r="J18" i="346"/>
  <c r="I18" i="346"/>
  <c r="H18" i="346"/>
  <c r="G18" i="346"/>
  <c r="F18" i="346"/>
  <c r="E18" i="346"/>
  <c r="A18" i="346"/>
  <c r="O17" i="346"/>
  <c r="N17" i="346"/>
  <c r="M17" i="346"/>
  <c r="L17" i="346"/>
  <c r="K17" i="346"/>
  <c r="J17" i="346"/>
  <c r="I17" i="346"/>
  <c r="H17" i="346"/>
  <c r="G17" i="346"/>
  <c r="F17" i="346"/>
  <c r="E17" i="346"/>
  <c r="A17" i="346"/>
  <c r="O16" i="346"/>
  <c r="N16" i="346"/>
  <c r="M16" i="346"/>
  <c r="L16" i="346"/>
  <c r="K16" i="346"/>
  <c r="J16" i="346"/>
  <c r="I16" i="346"/>
  <c r="H16" i="346"/>
  <c r="G16" i="346"/>
  <c r="F16" i="346"/>
  <c r="E16" i="346"/>
  <c r="A16" i="346"/>
  <c r="O15" i="346"/>
  <c r="N15" i="346"/>
  <c r="M15" i="346"/>
  <c r="L15" i="346"/>
  <c r="K15" i="346"/>
  <c r="J15" i="346"/>
  <c r="I15" i="346"/>
  <c r="H15" i="346"/>
  <c r="G15" i="346"/>
  <c r="F15" i="346"/>
  <c r="E15" i="346"/>
  <c r="A15" i="346"/>
  <c r="O14" i="346"/>
  <c r="N14" i="346"/>
  <c r="M14" i="346"/>
  <c r="L14" i="346"/>
  <c r="K14" i="346"/>
  <c r="J14" i="346"/>
  <c r="I14" i="346"/>
  <c r="H14" i="346"/>
  <c r="G14" i="346"/>
  <c r="F14" i="346"/>
  <c r="E14" i="346"/>
  <c r="A14" i="346"/>
  <c r="O13" i="346"/>
  <c r="N13" i="346"/>
  <c r="M13" i="346"/>
  <c r="L13" i="346"/>
  <c r="K13" i="346"/>
  <c r="J13" i="346"/>
  <c r="I13" i="346"/>
  <c r="H13" i="346"/>
  <c r="G13" i="346"/>
  <c r="F13" i="346"/>
  <c r="E13" i="346"/>
  <c r="A13" i="346"/>
  <c r="O12" i="346"/>
  <c r="N12" i="346"/>
  <c r="M12" i="346"/>
  <c r="L12" i="346"/>
  <c r="K12" i="346"/>
  <c r="J12" i="346"/>
  <c r="I12" i="346"/>
  <c r="H12" i="346"/>
  <c r="G12" i="346"/>
  <c r="F12" i="346"/>
  <c r="E12" i="346"/>
  <c r="A12" i="346"/>
  <c r="O11" i="346"/>
  <c r="N11" i="346"/>
  <c r="M11" i="346"/>
  <c r="L11" i="346"/>
  <c r="K11" i="346"/>
  <c r="J11" i="346"/>
  <c r="I11" i="346"/>
  <c r="H11" i="346"/>
  <c r="G11" i="346"/>
  <c r="F11" i="346"/>
  <c r="E11" i="346"/>
  <c r="A11" i="346"/>
  <c r="O10" i="346"/>
  <c r="N10" i="346"/>
  <c r="M10" i="346"/>
  <c r="L10" i="346"/>
  <c r="K10" i="346"/>
  <c r="J10" i="346"/>
  <c r="I10" i="346"/>
  <c r="H10" i="346"/>
  <c r="G10" i="346"/>
  <c r="F10" i="346"/>
  <c r="E10" i="346"/>
  <c r="A10" i="346"/>
  <c r="O9" i="346"/>
  <c r="N9" i="346"/>
  <c r="M9" i="346"/>
  <c r="L9" i="346"/>
  <c r="K9" i="346"/>
  <c r="J9" i="346"/>
  <c r="I9" i="346"/>
  <c r="H9" i="346"/>
  <c r="G9" i="346"/>
  <c r="F9" i="346"/>
  <c r="E9" i="346"/>
  <c r="A9" i="346"/>
  <c r="O8" i="346"/>
  <c r="N8" i="346"/>
  <c r="M8" i="346"/>
  <c r="L8" i="346"/>
  <c r="K8" i="346"/>
  <c r="J8" i="346"/>
  <c r="I8" i="346"/>
  <c r="H8" i="346"/>
  <c r="G8" i="346"/>
  <c r="F8" i="346"/>
  <c r="E8" i="346"/>
  <c r="A8" i="346"/>
  <c r="O7" i="346"/>
  <c r="N7" i="346"/>
  <c r="M7" i="346"/>
  <c r="L7" i="346"/>
  <c r="K7" i="346"/>
  <c r="J7" i="346"/>
  <c r="I7" i="346"/>
  <c r="H7" i="346"/>
  <c r="G7" i="346"/>
  <c r="F7" i="346"/>
  <c r="E7" i="346"/>
  <c r="A7" i="346"/>
  <c r="O6" i="346"/>
  <c r="N6" i="346"/>
  <c r="M6" i="346"/>
  <c r="L6" i="346"/>
  <c r="K6" i="346"/>
  <c r="J6" i="346"/>
  <c r="I6" i="346"/>
  <c r="H6" i="346"/>
  <c r="G6" i="346"/>
  <c r="F6" i="346"/>
  <c r="E6" i="346"/>
  <c r="A6" i="346"/>
  <c r="O5" i="346"/>
  <c r="N5" i="346"/>
  <c r="M5" i="346"/>
  <c r="L5" i="346"/>
  <c r="K5" i="346"/>
  <c r="J5" i="346"/>
  <c r="I5" i="346"/>
  <c r="H5" i="346"/>
  <c r="G5" i="346"/>
  <c r="F5" i="346"/>
  <c r="E5" i="346"/>
  <c r="A5" i="346"/>
  <c r="O4" i="346"/>
  <c r="N4" i="346"/>
  <c r="M4" i="346"/>
  <c r="L4" i="346"/>
  <c r="K4" i="346"/>
  <c r="J4" i="346"/>
  <c r="I4" i="346"/>
  <c r="H4" i="346"/>
  <c r="G4" i="346"/>
  <c r="F4" i="346"/>
  <c r="E4" i="346"/>
  <c r="A4" i="346"/>
  <c r="O3" i="346"/>
  <c r="N3" i="346"/>
  <c r="M3" i="346"/>
  <c r="L3" i="346"/>
  <c r="K3" i="346"/>
  <c r="J3" i="346"/>
  <c r="I3" i="346"/>
  <c r="H3" i="346"/>
  <c r="G3" i="346"/>
  <c r="F3" i="346"/>
  <c r="E3" i="346"/>
  <c r="A3" i="346"/>
  <c r="O2" i="346"/>
  <c r="N2" i="346"/>
  <c r="M2" i="346"/>
  <c r="L2" i="346"/>
  <c r="K2" i="346"/>
  <c r="J2" i="346"/>
  <c r="I2" i="346"/>
  <c r="H2" i="346"/>
  <c r="G2" i="346"/>
  <c r="F2" i="346"/>
  <c r="E2" i="346"/>
  <c r="A2" i="346"/>
  <c r="L17" i="198" l="1"/>
  <c r="K17" i="198"/>
  <c r="J17" i="198"/>
  <c r="E17" i="198"/>
  <c r="F17" i="198"/>
  <c r="G17" i="198"/>
  <c r="H17" i="198"/>
  <c r="I17" i="198"/>
  <c r="D17" i="198"/>
  <c r="N23" i="243" l="1"/>
  <c r="M23" i="243"/>
  <c r="K23" i="243"/>
  <c r="O22" i="243"/>
  <c r="O21" i="243"/>
  <c r="O20" i="243"/>
  <c r="O19" i="243"/>
  <c r="O18" i="243"/>
  <c r="O17" i="243"/>
  <c r="O16" i="243"/>
  <c r="O15" i="243"/>
  <c r="O14" i="243"/>
  <c r="O13" i="243"/>
  <c r="O12" i="243"/>
  <c r="O11" i="243"/>
  <c r="O10" i="243"/>
  <c r="O9" i="243"/>
  <c r="O8" i="243"/>
  <c r="O7" i="243"/>
  <c r="O6" i="243"/>
  <c r="O5" i="243"/>
  <c r="A24" i="243"/>
  <c r="O4" i="243"/>
  <c r="B2" i="243"/>
  <c r="O23" i="243" l="1"/>
  <c r="N206" i="204"/>
  <c r="M206" i="204" s="1"/>
  <c r="O206" i="204"/>
  <c r="P206" i="204"/>
  <c r="N207" i="204"/>
  <c r="M207" i="204" s="1"/>
  <c r="O207" i="204"/>
  <c r="P207" i="204"/>
  <c r="N208" i="204"/>
  <c r="M208" i="204" s="1"/>
  <c r="O208" i="204"/>
  <c r="P208" i="204"/>
  <c r="N209" i="204"/>
  <c r="M209" i="204" s="1"/>
  <c r="O209" i="204"/>
  <c r="P209" i="204"/>
  <c r="N210" i="204"/>
  <c r="M210" i="204" s="1"/>
  <c r="O210" i="204"/>
  <c r="P210" i="204"/>
  <c r="N211" i="204"/>
  <c r="M211" i="204" s="1"/>
  <c r="O211" i="204"/>
  <c r="P211" i="204"/>
  <c r="N213" i="204"/>
  <c r="M213" i="204" s="1"/>
  <c r="O213" i="204"/>
  <c r="P213" i="204"/>
  <c r="N214" i="204"/>
  <c r="M214" i="204" s="1"/>
  <c r="O214" i="204"/>
  <c r="P214" i="204"/>
  <c r="N215" i="204"/>
  <c r="M215" i="204" s="1"/>
  <c r="O215" i="204"/>
  <c r="P215" i="204"/>
  <c r="N216" i="204"/>
  <c r="M216" i="204" s="1"/>
  <c r="O216" i="204"/>
  <c r="P216" i="204"/>
  <c r="N221" i="204"/>
  <c r="M221" i="204" s="1"/>
  <c r="O221" i="204"/>
  <c r="P221" i="204"/>
  <c r="N222" i="204"/>
  <c r="M222" i="204" s="1"/>
  <c r="O222" i="204"/>
  <c r="P222" i="204"/>
  <c r="N223" i="204"/>
  <c r="M223" i="204" s="1"/>
  <c r="O223" i="204"/>
  <c r="P223" i="204"/>
  <c r="N224" i="204"/>
  <c r="M224" i="204" s="1"/>
  <c r="O224" i="204"/>
  <c r="P224" i="204"/>
  <c r="N226" i="204"/>
  <c r="M226" i="204" s="1"/>
  <c r="O226" i="204"/>
  <c r="P226" i="204"/>
  <c r="N231" i="204"/>
  <c r="M231" i="204" s="1"/>
  <c r="O231" i="204"/>
  <c r="P231" i="204"/>
  <c r="N232" i="204"/>
  <c r="M232" i="204" s="1"/>
  <c r="O232" i="204"/>
  <c r="P232" i="204"/>
  <c r="N233" i="204"/>
  <c r="M233" i="204" s="1"/>
  <c r="O233" i="204"/>
  <c r="P233" i="204"/>
  <c r="N235" i="204"/>
  <c r="M235" i="204" s="1"/>
  <c r="O235" i="204"/>
  <c r="P235" i="204"/>
  <c r="O205" i="204"/>
  <c r="P205" i="204"/>
  <c r="N205" i="204"/>
  <c r="M205" i="204" s="1"/>
  <c r="L236" i="204"/>
  <c r="K236" i="204"/>
  <c r="J236" i="204"/>
  <c r="I236" i="204"/>
  <c r="H236" i="204"/>
  <c r="G236" i="204"/>
  <c r="F236" i="204"/>
  <c r="E236" i="204"/>
  <c r="D236" i="204"/>
  <c r="C236" i="204"/>
  <c r="L227" i="204"/>
  <c r="K227" i="204"/>
  <c r="J227" i="204"/>
  <c r="I227" i="204"/>
  <c r="H227" i="204"/>
  <c r="G227" i="204"/>
  <c r="F227" i="204"/>
  <c r="E227" i="204"/>
  <c r="D227" i="204"/>
  <c r="C227" i="204"/>
  <c r="L217" i="204"/>
  <c r="K217" i="204"/>
  <c r="J217" i="204"/>
  <c r="I217" i="204"/>
  <c r="H217" i="204"/>
  <c r="G217" i="204"/>
  <c r="F217" i="204"/>
  <c r="E217" i="204"/>
  <c r="D217" i="204"/>
  <c r="C217" i="204"/>
  <c r="B236" i="204"/>
  <c r="B227" i="204"/>
  <c r="B217" i="204"/>
  <c r="L198" i="204"/>
  <c r="L195" i="204"/>
  <c r="L192" i="204"/>
  <c r="L189" i="204"/>
  <c r="L186" i="204"/>
  <c r="L183" i="204"/>
  <c r="L175" i="204"/>
  <c r="L173" i="204" s="1"/>
  <c r="L170" i="204"/>
  <c r="L165" i="204"/>
  <c r="L153" i="204"/>
  <c r="L152" i="204" s="1"/>
  <c r="L148" i="204"/>
  <c r="L145" i="204"/>
  <c r="L144" i="204" s="1"/>
  <c r="L137" i="204"/>
  <c r="L132" i="204"/>
  <c r="L109" i="204"/>
  <c r="L108" i="204" s="1"/>
  <c r="L102" i="204"/>
  <c r="L96" i="204"/>
  <c r="L86" i="204"/>
  <c r="L78" i="204"/>
  <c r="L71" i="204"/>
  <c r="L60" i="204"/>
  <c r="L50" i="204"/>
  <c r="L46" i="204"/>
  <c r="L41" i="204"/>
  <c r="L40" i="204" s="1"/>
  <c r="K198" i="204"/>
  <c r="J198" i="204"/>
  <c r="K195" i="204"/>
  <c r="J195" i="204"/>
  <c r="K192" i="204"/>
  <c r="J192" i="204"/>
  <c r="K189" i="204"/>
  <c r="J189" i="204"/>
  <c r="K186" i="204"/>
  <c r="J186" i="204"/>
  <c r="K183" i="204"/>
  <c r="J183" i="204"/>
  <c r="K175" i="204"/>
  <c r="K173" i="204" s="1"/>
  <c r="J175" i="204"/>
  <c r="J173" i="204" s="1"/>
  <c r="K170" i="204"/>
  <c r="J170" i="204"/>
  <c r="K165" i="204"/>
  <c r="J165" i="204"/>
  <c r="K153" i="204"/>
  <c r="K152" i="204" s="1"/>
  <c r="J153" i="204"/>
  <c r="J152" i="204" s="1"/>
  <c r="K148" i="204"/>
  <c r="J148" i="204"/>
  <c r="K145" i="204"/>
  <c r="K144" i="204" s="1"/>
  <c r="J145" i="204"/>
  <c r="K137" i="204"/>
  <c r="J137" i="204"/>
  <c r="K132" i="204"/>
  <c r="J132" i="204"/>
  <c r="J108" i="204" s="1"/>
  <c r="K109" i="204"/>
  <c r="J109" i="204"/>
  <c r="K102" i="204"/>
  <c r="J102" i="204"/>
  <c r="K96" i="204"/>
  <c r="J96" i="204"/>
  <c r="K86" i="204"/>
  <c r="J86" i="204"/>
  <c r="K78" i="204"/>
  <c r="J78" i="204"/>
  <c r="K71" i="204"/>
  <c r="J71" i="204"/>
  <c r="K60" i="204"/>
  <c r="J60" i="204"/>
  <c r="K50" i="204"/>
  <c r="J50" i="204"/>
  <c r="K46" i="204"/>
  <c r="J46" i="204"/>
  <c r="K41" i="204"/>
  <c r="J41" i="204"/>
  <c r="I198" i="204"/>
  <c r="H198" i="204"/>
  <c r="I195" i="204"/>
  <c r="H195" i="204"/>
  <c r="I192" i="204"/>
  <c r="H192" i="204"/>
  <c r="I189" i="204"/>
  <c r="H189" i="204"/>
  <c r="I186" i="204"/>
  <c r="H186" i="204"/>
  <c r="I183" i="204"/>
  <c r="H183" i="204"/>
  <c r="I175" i="204"/>
  <c r="I173" i="204" s="1"/>
  <c r="H175" i="204"/>
  <c r="H173" i="204" s="1"/>
  <c r="I170" i="204"/>
  <c r="H170" i="204"/>
  <c r="I165" i="204"/>
  <c r="H165" i="204"/>
  <c r="I153" i="204"/>
  <c r="H153" i="204"/>
  <c r="I148" i="204"/>
  <c r="H148" i="204"/>
  <c r="I145" i="204"/>
  <c r="I144" i="204" s="1"/>
  <c r="H145" i="204"/>
  <c r="H144" i="204" s="1"/>
  <c r="I137" i="204"/>
  <c r="H137" i="204"/>
  <c r="I132" i="204"/>
  <c r="H132" i="204"/>
  <c r="I109" i="204"/>
  <c r="H109" i="204"/>
  <c r="H108" i="204" s="1"/>
  <c r="I108" i="204"/>
  <c r="I102" i="204"/>
  <c r="H102" i="204"/>
  <c r="I96" i="204"/>
  <c r="H96" i="204"/>
  <c r="I86" i="204"/>
  <c r="H86" i="204"/>
  <c r="I78" i="204"/>
  <c r="H78" i="204"/>
  <c r="I71" i="204"/>
  <c r="H71" i="204"/>
  <c r="I60" i="204"/>
  <c r="H60" i="204"/>
  <c r="I50" i="204"/>
  <c r="H50" i="204"/>
  <c r="I46" i="204"/>
  <c r="H46" i="204"/>
  <c r="I41" i="204"/>
  <c r="H41" i="204"/>
  <c r="G198" i="204"/>
  <c r="F198" i="204"/>
  <c r="G195" i="204"/>
  <c r="F195" i="204"/>
  <c r="G192" i="204"/>
  <c r="F192" i="204"/>
  <c r="G189" i="204"/>
  <c r="F189" i="204"/>
  <c r="G186" i="204"/>
  <c r="F186" i="204"/>
  <c r="G183" i="204"/>
  <c r="F183" i="204"/>
  <c r="G175" i="204"/>
  <c r="G173" i="204" s="1"/>
  <c r="F175" i="204"/>
  <c r="F173" i="204" s="1"/>
  <c r="G170" i="204"/>
  <c r="F170" i="204"/>
  <c r="G165" i="204"/>
  <c r="F165" i="204"/>
  <c r="G153" i="204"/>
  <c r="F153" i="204"/>
  <c r="G148" i="204"/>
  <c r="F148" i="204"/>
  <c r="G145" i="204"/>
  <c r="F145" i="204"/>
  <c r="F144" i="204"/>
  <c r="G137" i="204"/>
  <c r="F137" i="204"/>
  <c r="G132" i="204"/>
  <c r="F132" i="204"/>
  <c r="F108" i="204" s="1"/>
  <c r="G109" i="204"/>
  <c r="G108" i="204" s="1"/>
  <c r="F109" i="204"/>
  <c r="G102" i="204"/>
  <c r="F102" i="204"/>
  <c r="G96" i="204"/>
  <c r="F96" i="204"/>
  <c r="G86" i="204"/>
  <c r="F86" i="204"/>
  <c r="G78" i="204"/>
  <c r="F78" i="204"/>
  <c r="G71" i="204"/>
  <c r="F71" i="204"/>
  <c r="G60" i="204"/>
  <c r="F60" i="204"/>
  <c r="G50" i="204"/>
  <c r="F50" i="204"/>
  <c r="G46" i="204"/>
  <c r="F46" i="204"/>
  <c r="G41" i="204"/>
  <c r="G40" i="204" s="1"/>
  <c r="F41" i="204"/>
  <c r="F40" i="204" s="1"/>
  <c r="E198" i="204"/>
  <c r="D198" i="204"/>
  <c r="E195" i="204"/>
  <c r="D195" i="204"/>
  <c r="E192" i="204"/>
  <c r="D192" i="204"/>
  <c r="E189" i="204"/>
  <c r="D189" i="204"/>
  <c r="E186" i="204"/>
  <c r="D186" i="204"/>
  <c r="E183" i="204"/>
  <c r="D183" i="204"/>
  <c r="E175" i="204"/>
  <c r="E173" i="204" s="1"/>
  <c r="D175" i="204"/>
  <c r="D173" i="204" s="1"/>
  <c r="E170" i="204"/>
  <c r="D170" i="204"/>
  <c r="E165" i="204"/>
  <c r="D165" i="204"/>
  <c r="E153" i="204"/>
  <c r="D153" i="204"/>
  <c r="E148" i="204"/>
  <c r="D148" i="204"/>
  <c r="E145" i="204"/>
  <c r="E144" i="204" s="1"/>
  <c r="D145" i="204"/>
  <c r="E137" i="204"/>
  <c r="D137" i="204"/>
  <c r="E132" i="204"/>
  <c r="D132" i="204"/>
  <c r="E109" i="204"/>
  <c r="E108" i="204" s="1"/>
  <c r="D109" i="204"/>
  <c r="D108" i="204" s="1"/>
  <c r="E102" i="204"/>
  <c r="D102" i="204"/>
  <c r="E96" i="204"/>
  <c r="D96" i="204"/>
  <c r="E86" i="204"/>
  <c r="D86" i="204"/>
  <c r="E78" i="204"/>
  <c r="D78" i="204"/>
  <c r="E71" i="204"/>
  <c r="D71" i="204"/>
  <c r="E60" i="204"/>
  <c r="D60" i="204"/>
  <c r="E50" i="204"/>
  <c r="D50" i="204"/>
  <c r="E46" i="204"/>
  <c r="D46" i="204"/>
  <c r="E41" i="204"/>
  <c r="D41" i="204"/>
  <c r="D40" i="204" s="1"/>
  <c r="C198" i="204"/>
  <c r="B198" i="204"/>
  <c r="C195" i="204"/>
  <c r="B195" i="204"/>
  <c r="C192" i="204"/>
  <c r="B192" i="204"/>
  <c r="C189" i="204"/>
  <c r="B189" i="204"/>
  <c r="C186" i="204"/>
  <c r="B186" i="204"/>
  <c r="C183" i="204"/>
  <c r="B183" i="204"/>
  <c r="C175" i="204"/>
  <c r="C173" i="204" s="1"/>
  <c r="B175" i="204"/>
  <c r="B173" i="204" s="1"/>
  <c r="C170" i="204"/>
  <c r="B170" i="204"/>
  <c r="C165" i="204"/>
  <c r="B165" i="204"/>
  <c r="C153" i="204"/>
  <c r="B153" i="204"/>
  <c r="B152" i="204" s="1"/>
  <c r="C148" i="204"/>
  <c r="B148" i="204"/>
  <c r="C145" i="204"/>
  <c r="B145" i="204"/>
  <c r="C137" i="204"/>
  <c r="B137" i="204"/>
  <c r="C132" i="204"/>
  <c r="B132" i="204"/>
  <c r="C109" i="204"/>
  <c r="B109" i="204"/>
  <c r="C102" i="204"/>
  <c r="B102" i="204"/>
  <c r="C96" i="204"/>
  <c r="B96" i="204"/>
  <c r="C86" i="204"/>
  <c r="B86" i="204"/>
  <c r="C78" i="204"/>
  <c r="B78" i="204"/>
  <c r="C71" i="204"/>
  <c r="B71" i="204"/>
  <c r="C60" i="204"/>
  <c r="B60" i="204"/>
  <c r="C50" i="204"/>
  <c r="B50" i="204"/>
  <c r="C46" i="204"/>
  <c r="B46" i="204"/>
  <c r="C41" i="204"/>
  <c r="B41" i="204"/>
  <c r="C40" i="204" l="1"/>
  <c r="C144" i="204"/>
  <c r="C152" i="204"/>
  <c r="E40" i="204"/>
  <c r="H40" i="204"/>
  <c r="B108" i="204"/>
  <c r="D144" i="204"/>
  <c r="D152" i="204"/>
  <c r="D201" i="204" s="1"/>
  <c r="G144" i="204"/>
  <c r="G152" i="204"/>
  <c r="I40" i="204"/>
  <c r="H152" i="204"/>
  <c r="H201" i="204" s="1"/>
  <c r="J40" i="204"/>
  <c r="F238" i="204"/>
  <c r="J238" i="204"/>
  <c r="B238" i="204"/>
  <c r="B240" i="204" s="1"/>
  <c r="C239" i="204" s="1"/>
  <c r="E152" i="204"/>
  <c r="C108" i="204"/>
  <c r="K108" i="204"/>
  <c r="B40" i="204"/>
  <c r="B144" i="204"/>
  <c r="F152" i="204"/>
  <c r="F201" i="204" s="1"/>
  <c r="I152" i="204"/>
  <c r="J144" i="204"/>
  <c r="J201" i="204" s="1"/>
  <c r="K40" i="204"/>
  <c r="E238" i="204"/>
  <c r="I238" i="204"/>
  <c r="C238" i="204"/>
  <c r="G238" i="204"/>
  <c r="K238" i="204"/>
  <c r="D238" i="204"/>
  <c r="H238" i="204"/>
  <c r="L238" i="204"/>
  <c r="L201" i="204"/>
  <c r="I201" i="204"/>
  <c r="G201" i="204"/>
  <c r="N22" i="330"/>
  <c r="M22" i="330"/>
  <c r="L22" i="330"/>
  <c r="K22" i="330"/>
  <c r="K24" i="330" s="1"/>
  <c r="J22" i="330"/>
  <c r="I22" i="330"/>
  <c r="H22" i="330"/>
  <c r="G22" i="330"/>
  <c r="F22" i="330"/>
  <c r="E22" i="330"/>
  <c r="D22" i="330"/>
  <c r="C22" i="330"/>
  <c r="O21" i="330"/>
  <c r="O20" i="330"/>
  <c r="O19" i="330"/>
  <c r="N16" i="330"/>
  <c r="M16" i="330"/>
  <c r="L16" i="330"/>
  <c r="K16" i="330"/>
  <c r="J16" i="330"/>
  <c r="I16" i="330"/>
  <c r="H16" i="330"/>
  <c r="G16" i="330"/>
  <c r="F16" i="330"/>
  <c r="E16" i="330"/>
  <c r="D16" i="330"/>
  <c r="C16" i="330"/>
  <c r="O15" i="330"/>
  <c r="O14" i="330"/>
  <c r="O13" i="330"/>
  <c r="N10" i="330"/>
  <c r="M10" i="330"/>
  <c r="L10" i="330"/>
  <c r="K10" i="330"/>
  <c r="J10" i="330"/>
  <c r="I10" i="330"/>
  <c r="H10" i="330"/>
  <c r="G10" i="330"/>
  <c r="F10" i="330"/>
  <c r="E10" i="330"/>
  <c r="D10" i="330"/>
  <c r="C10" i="330"/>
  <c r="O9" i="330"/>
  <c r="O8" i="330"/>
  <c r="O7" i="330"/>
  <c r="B2" i="330"/>
  <c r="A2" i="330"/>
  <c r="Q19" i="329"/>
  <c r="P19" i="329"/>
  <c r="O19" i="329"/>
  <c r="N19" i="329"/>
  <c r="M19" i="329"/>
  <c r="C201" i="204" l="1"/>
  <c r="K201" i="204"/>
  <c r="E201" i="204"/>
  <c r="C240" i="204"/>
  <c r="D239" i="204" s="1"/>
  <c r="D240" i="204" s="1"/>
  <c r="E239" i="204" s="1"/>
  <c r="E240" i="204" s="1"/>
  <c r="F239" i="204" s="1"/>
  <c r="F240" i="204" s="1"/>
  <c r="G239" i="204" s="1"/>
  <c r="G240" i="204" s="1"/>
  <c r="H239" i="204" s="1"/>
  <c r="H240" i="204" s="1"/>
  <c r="I239" i="204" s="1"/>
  <c r="I240" i="204" s="1"/>
  <c r="J239" i="204" s="1"/>
  <c r="J240" i="204" s="1"/>
  <c r="K239" i="204" s="1"/>
  <c r="K240" i="204" s="1"/>
  <c r="L239" i="204" s="1"/>
  <c r="L240" i="204" s="1"/>
  <c r="G24" i="330"/>
  <c r="B201" i="204"/>
  <c r="O10" i="330"/>
  <c r="D24" i="330"/>
  <c r="H24" i="330"/>
  <c r="L24" i="330"/>
  <c r="E24" i="330"/>
  <c r="I24" i="330"/>
  <c r="M24" i="330"/>
  <c r="F24" i="330"/>
  <c r="J24" i="330"/>
  <c r="N24" i="330"/>
  <c r="O22" i="330"/>
  <c r="C24" i="330"/>
  <c r="O16" i="330"/>
  <c r="C149" i="284"/>
  <c r="O24" i="330" l="1"/>
  <c r="B83" i="100"/>
  <c r="A1" i="202" s="1"/>
  <c r="J31" i="279"/>
  <c r="I31" i="279"/>
  <c r="H31" i="279"/>
  <c r="G31" i="279"/>
  <c r="F31" i="279"/>
  <c r="E31" i="279"/>
  <c r="D31" i="279"/>
  <c r="C31" i="279"/>
  <c r="B31" i="279"/>
  <c r="J30" i="279"/>
  <c r="I30" i="279"/>
  <c r="H30" i="279"/>
  <c r="G30" i="279"/>
  <c r="F30" i="279"/>
  <c r="E30" i="279"/>
  <c r="D30" i="279"/>
  <c r="B30" i="279"/>
  <c r="I54" i="198"/>
  <c r="G54" i="198"/>
  <c r="F54" i="198"/>
  <c r="E54" i="198"/>
  <c r="D54" i="198"/>
  <c r="I174" i="202"/>
  <c r="H174" i="202"/>
  <c r="H178" i="202" s="1"/>
  <c r="G174" i="202"/>
  <c r="G178" i="202" s="1"/>
  <c r="C174" i="202"/>
  <c r="K165" i="202"/>
  <c r="J165" i="202"/>
  <c r="I165" i="202"/>
  <c r="H165" i="202"/>
  <c r="H164" i="202" s="1"/>
  <c r="G165" i="202"/>
  <c r="G164" i="202" s="1"/>
  <c r="F165" i="202"/>
  <c r="F164" i="202" s="1"/>
  <c r="E165" i="202"/>
  <c r="E164" i="202" s="1"/>
  <c r="D165" i="202"/>
  <c r="D164" i="202" s="1"/>
  <c r="C165" i="202"/>
  <c r="C164" i="202" s="1"/>
  <c r="K162" i="202"/>
  <c r="J162" i="202"/>
  <c r="O196" i="204" s="1"/>
  <c r="I162" i="202"/>
  <c r="H162" i="202"/>
  <c r="H161" i="202" s="1"/>
  <c r="G162" i="202"/>
  <c r="G161" i="202" s="1"/>
  <c r="F162" i="202"/>
  <c r="F161" i="202" s="1"/>
  <c r="E162" i="202"/>
  <c r="E161" i="202" s="1"/>
  <c r="D162" i="202"/>
  <c r="D161" i="202" s="1"/>
  <c r="C162" i="202"/>
  <c r="C161" i="202" s="1"/>
  <c r="K159" i="202"/>
  <c r="P193" i="204" s="1"/>
  <c r="J159" i="202"/>
  <c r="I159" i="202"/>
  <c r="N193" i="204" s="1"/>
  <c r="M193" i="204" s="1"/>
  <c r="H159" i="202"/>
  <c r="H158" i="202" s="1"/>
  <c r="G159" i="202"/>
  <c r="G158" i="202" s="1"/>
  <c r="F159" i="202"/>
  <c r="F158" i="202" s="1"/>
  <c r="E159" i="202"/>
  <c r="E158" i="202" s="1"/>
  <c r="D159" i="202"/>
  <c r="D158" i="202" s="1"/>
  <c r="C159" i="202"/>
  <c r="C158" i="202" s="1"/>
  <c r="K156" i="202"/>
  <c r="J156" i="202"/>
  <c r="O190" i="204" s="1"/>
  <c r="I156" i="202"/>
  <c r="N190" i="204" s="1"/>
  <c r="M190" i="204" s="1"/>
  <c r="H156" i="202"/>
  <c r="H155" i="202" s="1"/>
  <c r="G156" i="202"/>
  <c r="G155" i="202" s="1"/>
  <c r="F156" i="202"/>
  <c r="F155" i="202" s="1"/>
  <c r="E156" i="202"/>
  <c r="E155" i="202" s="1"/>
  <c r="D156" i="202"/>
  <c r="D155" i="202" s="1"/>
  <c r="C156" i="202"/>
  <c r="C155" i="202" s="1"/>
  <c r="K153" i="202"/>
  <c r="J153" i="202"/>
  <c r="I153" i="202"/>
  <c r="N187" i="204" s="1"/>
  <c r="M187" i="204" s="1"/>
  <c r="H153" i="202"/>
  <c r="H152" i="202" s="1"/>
  <c r="G153" i="202"/>
  <c r="G152" i="202" s="1"/>
  <c r="F153" i="202"/>
  <c r="F152" i="202" s="1"/>
  <c r="E153" i="202"/>
  <c r="E152" i="202"/>
  <c r="D153" i="202"/>
  <c r="D152" i="202" s="1"/>
  <c r="C153" i="202"/>
  <c r="C152" i="202" s="1"/>
  <c r="K150" i="202"/>
  <c r="P184" i="204" s="1"/>
  <c r="J150" i="202"/>
  <c r="O184" i="204" s="1"/>
  <c r="I150" i="202"/>
  <c r="H150" i="202"/>
  <c r="H149" i="202" s="1"/>
  <c r="G150" i="202"/>
  <c r="G149" i="202"/>
  <c r="F150" i="202"/>
  <c r="F149" i="202" s="1"/>
  <c r="E150" i="202"/>
  <c r="E149" i="202" s="1"/>
  <c r="D150" i="202"/>
  <c r="D149" i="202" s="1"/>
  <c r="C150" i="202"/>
  <c r="C149" i="202" s="1"/>
  <c r="K147" i="202"/>
  <c r="P181" i="204" s="1"/>
  <c r="J147" i="202"/>
  <c r="O181" i="204" s="1"/>
  <c r="I147" i="202"/>
  <c r="N181" i="204" s="1"/>
  <c r="M181" i="204" s="1"/>
  <c r="H147" i="202"/>
  <c r="G147" i="202"/>
  <c r="F147" i="202"/>
  <c r="E147" i="202"/>
  <c r="D147" i="202"/>
  <c r="C147" i="202"/>
  <c r="K146" i="202"/>
  <c r="P180" i="204" s="1"/>
  <c r="J146" i="202"/>
  <c r="O180" i="204" s="1"/>
  <c r="I146" i="202"/>
  <c r="N180" i="204" s="1"/>
  <c r="M180" i="204" s="1"/>
  <c r="H146" i="202"/>
  <c r="G146" i="202"/>
  <c r="F146" i="202"/>
  <c r="E146" i="202"/>
  <c r="D146" i="202"/>
  <c r="C146" i="202"/>
  <c r="K145" i="202"/>
  <c r="P179" i="204" s="1"/>
  <c r="J145" i="202"/>
  <c r="I145" i="202"/>
  <c r="N179" i="204" s="1"/>
  <c r="M179" i="204" s="1"/>
  <c r="H145" i="202"/>
  <c r="G145" i="202"/>
  <c r="F145" i="202"/>
  <c r="E145" i="202"/>
  <c r="D145" i="202"/>
  <c r="C145" i="202"/>
  <c r="K144" i="202"/>
  <c r="J144" i="202"/>
  <c r="O178" i="204" s="1"/>
  <c r="I144" i="202"/>
  <c r="N178" i="204" s="1"/>
  <c r="M178" i="204" s="1"/>
  <c r="H144" i="202"/>
  <c r="G144" i="202"/>
  <c r="F144" i="202"/>
  <c r="E144" i="202"/>
  <c r="D144" i="202"/>
  <c r="C144" i="202"/>
  <c r="K143" i="202"/>
  <c r="P177" i="204" s="1"/>
  <c r="J143" i="202"/>
  <c r="O177" i="204" s="1"/>
  <c r="I143" i="202"/>
  <c r="N177" i="204" s="1"/>
  <c r="M177" i="204" s="1"/>
  <c r="H143" i="202"/>
  <c r="G143" i="202"/>
  <c r="F143" i="202"/>
  <c r="E143" i="202"/>
  <c r="D143" i="202"/>
  <c r="C143" i="202"/>
  <c r="K142" i="202"/>
  <c r="P176" i="204" s="1"/>
  <c r="J142" i="202"/>
  <c r="O176" i="204" s="1"/>
  <c r="I142" i="202"/>
  <c r="N176" i="204" s="1"/>
  <c r="M176" i="204" s="1"/>
  <c r="H142" i="202"/>
  <c r="G142" i="202"/>
  <c r="F142" i="202"/>
  <c r="E142" i="202"/>
  <c r="D142" i="202"/>
  <c r="C142" i="202"/>
  <c r="K140" i="202"/>
  <c r="P174" i="204" s="1"/>
  <c r="J140" i="202"/>
  <c r="O174" i="204" s="1"/>
  <c r="I140" i="202"/>
  <c r="N174" i="204" s="1"/>
  <c r="M174" i="204" s="1"/>
  <c r="H140" i="202"/>
  <c r="G140" i="202"/>
  <c r="F140" i="202"/>
  <c r="E140" i="202"/>
  <c r="D140" i="202"/>
  <c r="C140" i="202"/>
  <c r="K137" i="202"/>
  <c r="J137" i="202"/>
  <c r="I137" i="202"/>
  <c r="H137" i="202"/>
  <c r="H136" i="202" s="1"/>
  <c r="G137" i="202"/>
  <c r="G136" i="202" s="1"/>
  <c r="F137" i="202"/>
  <c r="F136" i="202" s="1"/>
  <c r="E137" i="202"/>
  <c r="E136" i="202" s="1"/>
  <c r="D137" i="202"/>
  <c r="D136" i="202" s="1"/>
  <c r="C137" i="202"/>
  <c r="C136" i="202" s="1"/>
  <c r="K134" i="202"/>
  <c r="P168" i="204" s="1"/>
  <c r="J134" i="202"/>
  <c r="O168" i="204" s="1"/>
  <c r="I134" i="202"/>
  <c r="N168" i="204" s="1"/>
  <c r="M168" i="204" s="1"/>
  <c r="H134" i="202"/>
  <c r="G134" i="202"/>
  <c r="F134" i="202"/>
  <c r="E134" i="202"/>
  <c r="D134" i="202"/>
  <c r="C134" i="202"/>
  <c r="K133" i="202"/>
  <c r="P167" i="204" s="1"/>
  <c r="J133" i="202"/>
  <c r="O167" i="204" s="1"/>
  <c r="I133" i="202"/>
  <c r="N167" i="204" s="1"/>
  <c r="M167" i="204" s="1"/>
  <c r="H133" i="202"/>
  <c r="G133" i="202"/>
  <c r="F133" i="202"/>
  <c r="E133" i="202"/>
  <c r="D133" i="202"/>
  <c r="C133" i="202"/>
  <c r="K132" i="202"/>
  <c r="P166" i="204" s="1"/>
  <c r="J132" i="202"/>
  <c r="O166" i="204" s="1"/>
  <c r="I132" i="202"/>
  <c r="N166" i="204" s="1"/>
  <c r="M166" i="204" s="1"/>
  <c r="H132" i="202"/>
  <c r="G132" i="202"/>
  <c r="F132" i="202"/>
  <c r="E132" i="202"/>
  <c r="D132" i="202"/>
  <c r="C132" i="202"/>
  <c r="K130" i="202"/>
  <c r="P164" i="204" s="1"/>
  <c r="J130" i="202"/>
  <c r="O164" i="204" s="1"/>
  <c r="I130" i="202"/>
  <c r="N164" i="204" s="1"/>
  <c r="M164" i="204" s="1"/>
  <c r="H130" i="202"/>
  <c r="G130" i="202"/>
  <c r="F130" i="202"/>
  <c r="E130" i="202"/>
  <c r="D130" i="202"/>
  <c r="C130" i="202"/>
  <c r="K129" i="202"/>
  <c r="P163" i="204" s="1"/>
  <c r="J129" i="202"/>
  <c r="O163" i="204" s="1"/>
  <c r="I129" i="202"/>
  <c r="N163" i="204" s="1"/>
  <c r="M163" i="204" s="1"/>
  <c r="H129" i="202"/>
  <c r="G129" i="202"/>
  <c r="F129" i="202"/>
  <c r="E129" i="202"/>
  <c r="D129" i="202"/>
  <c r="C129" i="202"/>
  <c r="K128" i="202"/>
  <c r="P162" i="204" s="1"/>
  <c r="J128" i="202"/>
  <c r="O162" i="204" s="1"/>
  <c r="I128" i="202"/>
  <c r="N162" i="204" s="1"/>
  <c r="M162" i="204" s="1"/>
  <c r="H128" i="202"/>
  <c r="G128" i="202"/>
  <c r="F128" i="202"/>
  <c r="E128" i="202"/>
  <c r="D128" i="202"/>
  <c r="C128" i="202"/>
  <c r="K127" i="202"/>
  <c r="P161" i="204" s="1"/>
  <c r="J127" i="202"/>
  <c r="O161" i="204" s="1"/>
  <c r="I127" i="202"/>
  <c r="N161" i="204" s="1"/>
  <c r="M161" i="204" s="1"/>
  <c r="H127" i="202"/>
  <c r="G127" i="202"/>
  <c r="F127" i="202"/>
  <c r="E127" i="202"/>
  <c r="D127" i="202"/>
  <c r="C127" i="202"/>
  <c r="K126" i="202"/>
  <c r="P160" i="204" s="1"/>
  <c r="J126" i="202"/>
  <c r="O160" i="204" s="1"/>
  <c r="I126" i="202"/>
  <c r="N160" i="204" s="1"/>
  <c r="M160" i="204" s="1"/>
  <c r="H126" i="202"/>
  <c r="G126" i="202"/>
  <c r="F126" i="202"/>
  <c r="E126" i="202"/>
  <c r="D126" i="202"/>
  <c r="C126" i="202"/>
  <c r="K125" i="202"/>
  <c r="P159" i="204" s="1"/>
  <c r="J125" i="202"/>
  <c r="O159" i="204" s="1"/>
  <c r="I125" i="202"/>
  <c r="N159" i="204" s="1"/>
  <c r="M159" i="204" s="1"/>
  <c r="H125" i="202"/>
  <c r="G125" i="202"/>
  <c r="F125" i="202"/>
  <c r="E125" i="202"/>
  <c r="D125" i="202"/>
  <c r="C125" i="202"/>
  <c r="K124" i="202"/>
  <c r="P158" i="204" s="1"/>
  <c r="J124" i="202"/>
  <c r="O158" i="204" s="1"/>
  <c r="I124" i="202"/>
  <c r="N158" i="204" s="1"/>
  <c r="M158" i="204" s="1"/>
  <c r="H124" i="202"/>
  <c r="G124" i="202"/>
  <c r="F124" i="202"/>
  <c r="E124" i="202"/>
  <c r="D124" i="202"/>
  <c r="C124" i="202"/>
  <c r="K123" i="202"/>
  <c r="P157" i="204" s="1"/>
  <c r="J123" i="202"/>
  <c r="O157" i="204" s="1"/>
  <c r="I123" i="202"/>
  <c r="N157" i="204" s="1"/>
  <c r="M157" i="204" s="1"/>
  <c r="H123" i="202"/>
  <c r="G123" i="202"/>
  <c r="F123" i="202"/>
  <c r="E123" i="202"/>
  <c r="D123" i="202"/>
  <c r="C123" i="202"/>
  <c r="K122" i="202"/>
  <c r="P156" i="204" s="1"/>
  <c r="J122" i="202"/>
  <c r="O156" i="204" s="1"/>
  <c r="I122" i="202"/>
  <c r="N156" i="204" s="1"/>
  <c r="M156" i="204" s="1"/>
  <c r="H122" i="202"/>
  <c r="G122" i="202"/>
  <c r="F122" i="202"/>
  <c r="E122" i="202"/>
  <c r="D122" i="202"/>
  <c r="C122" i="202"/>
  <c r="K121" i="202"/>
  <c r="P155" i="204" s="1"/>
  <c r="J121" i="202"/>
  <c r="O155" i="204" s="1"/>
  <c r="I121" i="202"/>
  <c r="N155" i="204" s="1"/>
  <c r="M155" i="204" s="1"/>
  <c r="H121" i="202"/>
  <c r="G121" i="202"/>
  <c r="F121" i="202"/>
  <c r="E121" i="202"/>
  <c r="D121" i="202"/>
  <c r="C121" i="202"/>
  <c r="K120" i="202"/>
  <c r="P154" i="204" s="1"/>
  <c r="J120" i="202"/>
  <c r="O154" i="204" s="1"/>
  <c r="I120" i="202"/>
  <c r="N154" i="204" s="1"/>
  <c r="M154" i="204" s="1"/>
  <c r="H120" i="202"/>
  <c r="G120" i="202"/>
  <c r="F120" i="202"/>
  <c r="E120" i="202"/>
  <c r="D120" i="202"/>
  <c r="C120" i="202"/>
  <c r="K116" i="202"/>
  <c r="P150" i="204" s="1"/>
  <c r="J116" i="202"/>
  <c r="O150" i="204" s="1"/>
  <c r="I116" i="202"/>
  <c r="N150" i="204" s="1"/>
  <c r="M150" i="204" s="1"/>
  <c r="H116" i="202"/>
  <c r="G116" i="202"/>
  <c r="F116" i="202"/>
  <c r="E116" i="202"/>
  <c r="D116" i="202"/>
  <c r="C116" i="202"/>
  <c r="K115" i="202"/>
  <c r="P149" i="204" s="1"/>
  <c r="J115" i="202"/>
  <c r="O149" i="204" s="1"/>
  <c r="I115" i="202"/>
  <c r="N149" i="204" s="1"/>
  <c r="M149" i="204" s="1"/>
  <c r="H115" i="202"/>
  <c r="H114" i="202" s="1"/>
  <c r="G115" i="202"/>
  <c r="F115" i="202"/>
  <c r="E115" i="202"/>
  <c r="D115" i="202"/>
  <c r="D114" i="202" s="1"/>
  <c r="C115" i="202"/>
  <c r="K113" i="202"/>
  <c r="P147" i="204" s="1"/>
  <c r="J113" i="202"/>
  <c r="O147" i="204" s="1"/>
  <c r="I113" i="202"/>
  <c r="N147" i="204" s="1"/>
  <c r="M147" i="204" s="1"/>
  <c r="H113" i="202"/>
  <c r="G113" i="202"/>
  <c r="F113" i="202"/>
  <c r="E113" i="202"/>
  <c r="D113" i="202"/>
  <c r="C113" i="202"/>
  <c r="K112" i="202"/>
  <c r="J112" i="202"/>
  <c r="I112" i="202"/>
  <c r="N146" i="204" s="1"/>
  <c r="M146" i="204" s="1"/>
  <c r="H112" i="202"/>
  <c r="G112" i="202"/>
  <c r="F112" i="202"/>
  <c r="E112" i="202"/>
  <c r="D112" i="202"/>
  <c r="C112" i="202"/>
  <c r="K108" i="202"/>
  <c r="P142" i="204" s="1"/>
  <c r="J108" i="202"/>
  <c r="O142" i="204" s="1"/>
  <c r="I108" i="202"/>
  <c r="N142" i="204" s="1"/>
  <c r="M142" i="204" s="1"/>
  <c r="H108" i="202"/>
  <c r="G108" i="202"/>
  <c r="F108" i="202"/>
  <c r="E108" i="202"/>
  <c r="D108" i="202"/>
  <c r="C108" i="202"/>
  <c r="K107" i="202"/>
  <c r="P141" i="204" s="1"/>
  <c r="J107" i="202"/>
  <c r="O141" i="204" s="1"/>
  <c r="I107" i="202"/>
  <c r="N141" i="204" s="1"/>
  <c r="M141" i="204" s="1"/>
  <c r="H107" i="202"/>
  <c r="G107" i="202"/>
  <c r="F107" i="202"/>
  <c r="E107" i="202"/>
  <c r="D107" i="202"/>
  <c r="C107" i="202"/>
  <c r="K106" i="202"/>
  <c r="P140" i="204" s="1"/>
  <c r="J106" i="202"/>
  <c r="O140" i="204" s="1"/>
  <c r="I106" i="202"/>
  <c r="N140" i="204" s="1"/>
  <c r="M140" i="204" s="1"/>
  <c r="H106" i="202"/>
  <c r="G106" i="202"/>
  <c r="F106" i="202"/>
  <c r="E106" i="202"/>
  <c r="D106" i="202"/>
  <c r="C106" i="202"/>
  <c r="K105" i="202"/>
  <c r="P139" i="204" s="1"/>
  <c r="J105" i="202"/>
  <c r="O139" i="204" s="1"/>
  <c r="I105" i="202"/>
  <c r="N139" i="204" s="1"/>
  <c r="M139" i="204" s="1"/>
  <c r="H105" i="202"/>
  <c r="G105" i="202"/>
  <c r="F105" i="202"/>
  <c r="E105" i="202"/>
  <c r="D105" i="202"/>
  <c r="C105" i="202"/>
  <c r="K104" i="202"/>
  <c r="P138" i="204" s="1"/>
  <c r="J104" i="202"/>
  <c r="O138" i="204" s="1"/>
  <c r="I104" i="202"/>
  <c r="N138" i="204" s="1"/>
  <c r="M138" i="204" s="1"/>
  <c r="H104" i="202"/>
  <c r="G104" i="202"/>
  <c r="F104" i="202"/>
  <c r="E104" i="202"/>
  <c r="D104" i="202"/>
  <c r="C104" i="202"/>
  <c r="K101" i="202"/>
  <c r="P135" i="204" s="1"/>
  <c r="J101" i="202"/>
  <c r="O135" i="204" s="1"/>
  <c r="I101" i="202"/>
  <c r="N135" i="204" s="1"/>
  <c r="M135" i="204" s="1"/>
  <c r="H101" i="202"/>
  <c r="G101" i="202"/>
  <c r="F101" i="202"/>
  <c r="E101" i="202"/>
  <c r="D101" i="202"/>
  <c r="C101" i="202"/>
  <c r="K100" i="202"/>
  <c r="P134" i="204" s="1"/>
  <c r="J100" i="202"/>
  <c r="O134" i="204" s="1"/>
  <c r="I100" i="202"/>
  <c r="N134" i="204" s="1"/>
  <c r="M134" i="204" s="1"/>
  <c r="H100" i="202"/>
  <c r="G100" i="202"/>
  <c r="F100" i="202"/>
  <c r="E100" i="202"/>
  <c r="D100" i="202"/>
  <c r="C100" i="202"/>
  <c r="K99" i="202"/>
  <c r="P133" i="204" s="1"/>
  <c r="J99" i="202"/>
  <c r="I99" i="202"/>
  <c r="N133" i="204" s="1"/>
  <c r="M133" i="204" s="1"/>
  <c r="H99" i="202"/>
  <c r="G99" i="202"/>
  <c r="F99" i="202"/>
  <c r="E99" i="202"/>
  <c r="D99" i="202"/>
  <c r="C99" i="202"/>
  <c r="K97" i="202"/>
  <c r="P131" i="204" s="1"/>
  <c r="J97" i="202"/>
  <c r="O131" i="204" s="1"/>
  <c r="I97" i="202"/>
  <c r="N131" i="204" s="1"/>
  <c r="M131" i="204" s="1"/>
  <c r="H97" i="202"/>
  <c r="G97" i="202"/>
  <c r="F97" i="202"/>
  <c r="E97" i="202"/>
  <c r="D97" i="202"/>
  <c r="C97" i="202"/>
  <c r="K96" i="202"/>
  <c r="P130" i="204" s="1"/>
  <c r="J96" i="202"/>
  <c r="O130" i="204" s="1"/>
  <c r="I96" i="202"/>
  <c r="N130" i="204" s="1"/>
  <c r="M130" i="204" s="1"/>
  <c r="H96" i="202"/>
  <c r="G96" i="202"/>
  <c r="F96" i="202"/>
  <c r="E96" i="202"/>
  <c r="D96" i="202"/>
  <c r="C96" i="202"/>
  <c r="K95" i="202"/>
  <c r="P129" i="204" s="1"/>
  <c r="J95" i="202"/>
  <c r="O129" i="204" s="1"/>
  <c r="I95" i="202"/>
  <c r="N129" i="204" s="1"/>
  <c r="M129" i="204" s="1"/>
  <c r="H95" i="202"/>
  <c r="G95" i="202"/>
  <c r="F95" i="202"/>
  <c r="E95" i="202"/>
  <c r="D95" i="202"/>
  <c r="C95" i="202"/>
  <c r="K94" i="202"/>
  <c r="P128" i="204" s="1"/>
  <c r="J94" i="202"/>
  <c r="O128" i="204" s="1"/>
  <c r="I94" i="202"/>
  <c r="N128" i="204" s="1"/>
  <c r="M128" i="204" s="1"/>
  <c r="H94" i="202"/>
  <c r="G94" i="202"/>
  <c r="F94" i="202"/>
  <c r="E94" i="202"/>
  <c r="D94" i="202"/>
  <c r="C94" i="202"/>
  <c r="K93" i="202"/>
  <c r="P127" i="204" s="1"/>
  <c r="J93" i="202"/>
  <c r="O127" i="204" s="1"/>
  <c r="I93" i="202"/>
  <c r="N127" i="204" s="1"/>
  <c r="M127" i="204" s="1"/>
  <c r="H93" i="202"/>
  <c r="G93" i="202"/>
  <c r="F93" i="202"/>
  <c r="E93" i="202"/>
  <c r="D93" i="202"/>
  <c r="C93" i="202"/>
  <c r="K92" i="202"/>
  <c r="P126" i="204" s="1"/>
  <c r="J92" i="202"/>
  <c r="O126" i="204" s="1"/>
  <c r="I92" i="202"/>
  <c r="N126" i="204" s="1"/>
  <c r="M126" i="204" s="1"/>
  <c r="H92" i="202"/>
  <c r="G92" i="202"/>
  <c r="F92" i="202"/>
  <c r="E92" i="202"/>
  <c r="D92" i="202"/>
  <c r="C92" i="202"/>
  <c r="K91" i="202"/>
  <c r="P125" i="204" s="1"/>
  <c r="J91" i="202"/>
  <c r="O125" i="204" s="1"/>
  <c r="I91" i="202"/>
  <c r="N125" i="204" s="1"/>
  <c r="M125" i="204" s="1"/>
  <c r="H91" i="202"/>
  <c r="G91" i="202"/>
  <c r="F91" i="202"/>
  <c r="E91" i="202"/>
  <c r="D91" i="202"/>
  <c r="C91" i="202"/>
  <c r="K90" i="202"/>
  <c r="P124" i="204" s="1"/>
  <c r="J90" i="202"/>
  <c r="O124" i="204" s="1"/>
  <c r="I90" i="202"/>
  <c r="N124" i="204" s="1"/>
  <c r="M124" i="204" s="1"/>
  <c r="H90" i="202"/>
  <c r="G90" i="202"/>
  <c r="F90" i="202"/>
  <c r="E90" i="202"/>
  <c r="D90" i="202"/>
  <c r="C90" i="202"/>
  <c r="K89" i="202"/>
  <c r="P123" i="204" s="1"/>
  <c r="J89" i="202"/>
  <c r="O123" i="204" s="1"/>
  <c r="I89" i="202"/>
  <c r="N123" i="204" s="1"/>
  <c r="M123" i="204" s="1"/>
  <c r="H89" i="202"/>
  <c r="G89" i="202"/>
  <c r="F89" i="202"/>
  <c r="E89" i="202"/>
  <c r="D89" i="202"/>
  <c r="C89" i="202"/>
  <c r="K88" i="202"/>
  <c r="P122" i="204" s="1"/>
  <c r="J88" i="202"/>
  <c r="O122" i="204" s="1"/>
  <c r="I88" i="202"/>
  <c r="N122" i="204" s="1"/>
  <c r="M122" i="204" s="1"/>
  <c r="H88" i="202"/>
  <c r="G88" i="202"/>
  <c r="F88" i="202"/>
  <c r="E88" i="202"/>
  <c r="D88" i="202"/>
  <c r="C88" i="202"/>
  <c r="K87" i="202"/>
  <c r="P121" i="204" s="1"/>
  <c r="J87" i="202"/>
  <c r="O121" i="204" s="1"/>
  <c r="I87" i="202"/>
  <c r="N121" i="204" s="1"/>
  <c r="M121" i="204" s="1"/>
  <c r="H87" i="202"/>
  <c r="G87" i="202"/>
  <c r="F87" i="202"/>
  <c r="E87" i="202"/>
  <c r="D87" i="202"/>
  <c r="C87" i="202"/>
  <c r="K86" i="202"/>
  <c r="P120" i="204" s="1"/>
  <c r="J86" i="202"/>
  <c r="O120" i="204" s="1"/>
  <c r="I86" i="202"/>
  <c r="N120" i="204" s="1"/>
  <c r="M120" i="204" s="1"/>
  <c r="H86" i="202"/>
  <c r="G86" i="202"/>
  <c r="F86" i="202"/>
  <c r="E86" i="202"/>
  <c r="D86" i="202"/>
  <c r="C86" i="202"/>
  <c r="K85" i="202"/>
  <c r="P119" i="204" s="1"/>
  <c r="J85" i="202"/>
  <c r="O119" i="204" s="1"/>
  <c r="I85" i="202"/>
  <c r="N119" i="204" s="1"/>
  <c r="M119" i="204" s="1"/>
  <c r="H85" i="202"/>
  <c r="G85" i="202"/>
  <c r="F85" i="202"/>
  <c r="E85" i="202"/>
  <c r="D85" i="202"/>
  <c r="C85" i="202"/>
  <c r="K84" i="202"/>
  <c r="P118" i="204" s="1"/>
  <c r="J84" i="202"/>
  <c r="O118" i="204" s="1"/>
  <c r="I84" i="202"/>
  <c r="N118" i="204" s="1"/>
  <c r="M118" i="204" s="1"/>
  <c r="H84" i="202"/>
  <c r="G84" i="202"/>
  <c r="F84" i="202"/>
  <c r="E84" i="202"/>
  <c r="D84" i="202"/>
  <c r="C84" i="202"/>
  <c r="K83" i="202"/>
  <c r="P117" i="204" s="1"/>
  <c r="J83" i="202"/>
  <c r="O117" i="204" s="1"/>
  <c r="I83" i="202"/>
  <c r="N117" i="204" s="1"/>
  <c r="M117" i="204" s="1"/>
  <c r="H83" i="202"/>
  <c r="G83" i="202"/>
  <c r="F83" i="202"/>
  <c r="E83" i="202"/>
  <c r="D83" i="202"/>
  <c r="C83" i="202"/>
  <c r="K82" i="202"/>
  <c r="P116" i="204" s="1"/>
  <c r="J82" i="202"/>
  <c r="O116" i="204" s="1"/>
  <c r="I82" i="202"/>
  <c r="N116" i="204" s="1"/>
  <c r="M116" i="204" s="1"/>
  <c r="H82" i="202"/>
  <c r="G82" i="202"/>
  <c r="F82" i="202"/>
  <c r="E82" i="202"/>
  <c r="D82" i="202"/>
  <c r="C82" i="202"/>
  <c r="K81" i="202"/>
  <c r="P115" i="204" s="1"/>
  <c r="J81" i="202"/>
  <c r="O115" i="204" s="1"/>
  <c r="I81" i="202"/>
  <c r="N115" i="204" s="1"/>
  <c r="M115" i="204" s="1"/>
  <c r="H81" i="202"/>
  <c r="G81" i="202"/>
  <c r="F81" i="202"/>
  <c r="E81" i="202"/>
  <c r="D81" i="202"/>
  <c r="C81" i="202"/>
  <c r="K80" i="202"/>
  <c r="P114" i="204" s="1"/>
  <c r="J80" i="202"/>
  <c r="O114" i="204" s="1"/>
  <c r="I80" i="202"/>
  <c r="N114" i="204" s="1"/>
  <c r="M114" i="204" s="1"/>
  <c r="H80" i="202"/>
  <c r="G80" i="202"/>
  <c r="F80" i="202"/>
  <c r="E80" i="202"/>
  <c r="D80" i="202"/>
  <c r="C80" i="202"/>
  <c r="K79" i="202"/>
  <c r="P113" i="204" s="1"/>
  <c r="J79" i="202"/>
  <c r="O113" i="204" s="1"/>
  <c r="I79" i="202"/>
  <c r="N113" i="204" s="1"/>
  <c r="M113" i="204" s="1"/>
  <c r="H79" i="202"/>
  <c r="G79" i="202"/>
  <c r="F79" i="202"/>
  <c r="E79" i="202"/>
  <c r="D79" i="202"/>
  <c r="C79" i="202"/>
  <c r="K78" i="202"/>
  <c r="P112" i="204" s="1"/>
  <c r="J78" i="202"/>
  <c r="O112" i="204" s="1"/>
  <c r="I78" i="202"/>
  <c r="N112" i="204" s="1"/>
  <c r="M112" i="204" s="1"/>
  <c r="H78" i="202"/>
  <c r="G78" i="202"/>
  <c r="F78" i="202"/>
  <c r="E78" i="202"/>
  <c r="D78" i="202"/>
  <c r="C78" i="202"/>
  <c r="K77" i="202"/>
  <c r="P111" i="204" s="1"/>
  <c r="J77" i="202"/>
  <c r="O111" i="204" s="1"/>
  <c r="I77" i="202"/>
  <c r="N111" i="204" s="1"/>
  <c r="M111" i="204" s="1"/>
  <c r="H77" i="202"/>
  <c r="G77" i="202"/>
  <c r="F77" i="202"/>
  <c r="E77" i="202"/>
  <c r="D77" i="202"/>
  <c r="C77" i="202"/>
  <c r="K76" i="202"/>
  <c r="P110" i="204" s="1"/>
  <c r="J76" i="202"/>
  <c r="O110" i="204" s="1"/>
  <c r="I76" i="202"/>
  <c r="N110" i="204" s="1"/>
  <c r="M110" i="204" s="1"/>
  <c r="H76" i="202"/>
  <c r="G76" i="202"/>
  <c r="F76" i="202"/>
  <c r="E76" i="202"/>
  <c r="D76" i="202"/>
  <c r="C76" i="202"/>
  <c r="K72" i="202"/>
  <c r="P106" i="204" s="1"/>
  <c r="J72" i="202"/>
  <c r="O106" i="204" s="1"/>
  <c r="I72" i="202"/>
  <c r="N106" i="204" s="1"/>
  <c r="M106" i="204" s="1"/>
  <c r="H72" i="202"/>
  <c r="H68" i="202" s="1"/>
  <c r="G72" i="202"/>
  <c r="F72" i="202"/>
  <c r="E72" i="202"/>
  <c r="D72" i="202"/>
  <c r="C72" i="202"/>
  <c r="K71" i="202"/>
  <c r="P105" i="204" s="1"/>
  <c r="J71" i="202"/>
  <c r="O105" i="204" s="1"/>
  <c r="I71" i="202"/>
  <c r="N105" i="204" s="1"/>
  <c r="M105" i="204" s="1"/>
  <c r="H71" i="202"/>
  <c r="G71" i="202"/>
  <c r="F71" i="202"/>
  <c r="E71" i="202"/>
  <c r="D71" i="202"/>
  <c r="C71" i="202"/>
  <c r="K70" i="202"/>
  <c r="P104" i="204" s="1"/>
  <c r="J70" i="202"/>
  <c r="O104" i="204" s="1"/>
  <c r="I70" i="202"/>
  <c r="N104" i="204" s="1"/>
  <c r="M104" i="204" s="1"/>
  <c r="H70" i="202"/>
  <c r="G70" i="202"/>
  <c r="F70" i="202"/>
  <c r="E70" i="202"/>
  <c r="D70" i="202"/>
  <c r="C70" i="202"/>
  <c r="K69" i="202"/>
  <c r="P103" i="204" s="1"/>
  <c r="J69" i="202"/>
  <c r="O103" i="204" s="1"/>
  <c r="I69" i="202"/>
  <c r="N103" i="204" s="1"/>
  <c r="M103" i="204" s="1"/>
  <c r="H69" i="202"/>
  <c r="G69" i="202"/>
  <c r="F69" i="202"/>
  <c r="E69" i="202"/>
  <c r="D69" i="202"/>
  <c r="C69" i="202"/>
  <c r="K67" i="202"/>
  <c r="P101" i="204" s="1"/>
  <c r="J67" i="202"/>
  <c r="O101" i="204" s="1"/>
  <c r="I67" i="202"/>
  <c r="N101" i="204" s="1"/>
  <c r="M101" i="204" s="1"/>
  <c r="H67" i="202"/>
  <c r="G67" i="202"/>
  <c r="F67" i="202"/>
  <c r="E67" i="202"/>
  <c r="D67" i="202"/>
  <c r="C67" i="202"/>
  <c r="K66" i="202"/>
  <c r="P100" i="204" s="1"/>
  <c r="J66" i="202"/>
  <c r="O100" i="204" s="1"/>
  <c r="I66" i="202"/>
  <c r="N100" i="204" s="1"/>
  <c r="M100" i="204" s="1"/>
  <c r="H66" i="202"/>
  <c r="G66" i="202"/>
  <c r="F66" i="202"/>
  <c r="E66" i="202"/>
  <c r="D66" i="202"/>
  <c r="C66" i="202"/>
  <c r="K65" i="202"/>
  <c r="P99" i="204" s="1"/>
  <c r="J65" i="202"/>
  <c r="O99" i="204" s="1"/>
  <c r="I65" i="202"/>
  <c r="N99" i="204" s="1"/>
  <c r="M99" i="204" s="1"/>
  <c r="H65" i="202"/>
  <c r="G65" i="202"/>
  <c r="F65" i="202"/>
  <c r="E65" i="202"/>
  <c r="D65" i="202"/>
  <c r="C65" i="202"/>
  <c r="K64" i="202"/>
  <c r="P98" i="204" s="1"/>
  <c r="J64" i="202"/>
  <c r="O98" i="204" s="1"/>
  <c r="I64" i="202"/>
  <c r="N98" i="204" s="1"/>
  <c r="M98" i="204" s="1"/>
  <c r="H64" i="202"/>
  <c r="G64" i="202"/>
  <c r="F64" i="202"/>
  <c r="E64" i="202"/>
  <c r="D64" i="202"/>
  <c r="C64" i="202"/>
  <c r="K63" i="202"/>
  <c r="P97" i="204" s="1"/>
  <c r="J63" i="202"/>
  <c r="O97" i="204" s="1"/>
  <c r="I63" i="202"/>
  <c r="N97" i="204" s="1"/>
  <c r="M97" i="204" s="1"/>
  <c r="H63" i="202"/>
  <c r="G63" i="202"/>
  <c r="F63" i="202"/>
  <c r="E63" i="202"/>
  <c r="D63" i="202"/>
  <c r="C63" i="202"/>
  <c r="K61" i="202"/>
  <c r="P95" i="204" s="1"/>
  <c r="J61" i="202"/>
  <c r="O95" i="204" s="1"/>
  <c r="I61" i="202"/>
  <c r="N95" i="204" s="1"/>
  <c r="M95" i="204" s="1"/>
  <c r="H61" i="202"/>
  <c r="G61" i="202"/>
  <c r="F61" i="202"/>
  <c r="E61" i="202"/>
  <c r="D61" i="202"/>
  <c r="C61" i="202"/>
  <c r="K60" i="202"/>
  <c r="P94" i="204" s="1"/>
  <c r="J60" i="202"/>
  <c r="O94" i="204" s="1"/>
  <c r="I60" i="202"/>
  <c r="N94" i="204" s="1"/>
  <c r="M94" i="204" s="1"/>
  <c r="H60" i="202"/>
  <c r="G60" i="202"/>
  <c r="F60" i="202"/>
  <c r="E60" i="202"/>
  <c r="D60" i="202"/>
  <c r="C60" i="202"/>
  <c r="K59" i="202"/>
  <c r="P93" i="204" s="1"/>
  <c r="J59" i="202"/>
  <c r="O93" i="204" s="1"/>
  <c r="I59" i="202"/>
  <c r="N93" i="204" s="1"/>
  <c r="M93" i="204" s="1"/>
  <c r="H59" i="202"/>
  <c r="G59" i="202"/>
  <c r="F59" i="202"/>
  <c r="E59" i="202"/>
  <c r="D59" i="202"/>
  <c r="C59" i="202"/>
  <c r="K58" i="202"/>
  <c r="P92" i="204" s="1"/>
  <c r="J58" i="202"/>
  <c r="O92" i="204" s="1"/>
  <c r="I58" i="202"/>
  <c r="N92" i="204" s="1"/>
  <c r="M92" i="204" s="1"/>
  <c r="H58" i="202"/>
  <c r="G58" i="202"/>
  <c r="F58" i="202"/>
  <c r="E58" i="202"/>
  <c r="D58" i="202"/>
  <c r="C58" i="202"/>
  <c r="K57" i="202"/>
  <c r="P91" i="204" s="1"/>
  <c r="J57" i="202"/>
  <c r="O91" i="204" s="1"/>
  <c r="I57" i="202"/>
  <c r="N91" i="204" s="1"/>
  <c r="M91" i="204" s="1"/>
  <c r="H57" i="202"/>
  <c r="G57" i="202"/>
  <c r="F57" i="202"/>
  <c r="E57" i="202"/>
  <c r="D57" i="202"/>
  <c r="C57" i="202"/>
  <c r="K56" i="202"/>
  <c r="P90" i="204" s="1"/>
  <c r="J56" i="202"/>
  <c r="O90" i="204" s="1"/>
  <c r="I56" i="202"/>
  <c r="N90" i="204" s="1"/>
  <c r="M90" i="204" s="1"/>
  <c r="H56" i="202"/>
  <c r="G56" i="202"/>
  <c r="F56" i="202"/>
  <c r="E56" i="202"/>
  <c r="D56" i="202"/>
  <c r="C56" i="202"/>
  <c r="K55" i="202"/>
  <c r="P89" i="204" s="1"/>
  <c r="J55" i="202"/>
  <c r="O89" i="204" s="1"/>
  <c r="I55" i="202"/>
  <c r="N89" i="204" s="1"/>
  <c r="M89" i="204" s="1"/>
  <c r="H55" i="202"/>
  <c r="G55" i="202"/>
  <c r="F55" i="202"/>
  <c r="E55" i="202"/>
  <c r="D55" i="202"/>
  <c r="C55" i="202"/>
  <c r="K54" i="202"/>
  <c r="P88" i="204" s="1"/>
  <c r="J54" i="202"/>
  <c r="O88" i="204" s="1"/>
  <c r="I54" i="202"/>
  <c r="H54" i="202"/>
  <c r="G54" i="202"/>
  <c r="F54" i="202"/>
  <c r="E54" i="202"/>
  <c r="D54" i="202"/>
  <c r="C54" i="202"/>
  <c r="K53" i="202"/>
  <c r="P87" i="204" s="1"/>
  <c r="J53" i="202"/>
  <c r="O87" i="204" s="1"/>
  <c r="I53" i="202"/>
  <c r="N87" i="204" s="1"/>
  <c r="M87" i="204" s="1"/>
  <c r="H53" i="202"/>
  <c r="G53" i="202"/>
  <c r="F53" i="202"/>
  <c r="E53" i="202"/>
  <c r="D53" i="202"/>
  <c r="C53" i="202"/>
  <c r="K51" i="202"/>
  <c r="P85" i="204" s="1"/>
  <c r="J51" i="202"/>
  <c r="O85" i="204" s="1"/>
  <c r="I51" i="202"/>
  <c r="N85" i="204" s="1"/>
  <c r="M85" i="204" s="1"/>
  <c r="H51" i="202"/>
  <c r="G51" i="202"/>
  <c r="F51" i="202"/>
  <c r="E51" i="202"/>
  <c r="D51" i="202"/>
  <c r="C51" i="202"/>
  <c r="K50" i="202"/>
  <c r="P84" i="204" s="1"/>
  <c r="J50" i="202"/>
  <c r="O84" i="204" s="1"/>
  <c r="I50" i="202"/>
  <c r="N84" i="204" s="1"/>
  <c r="M84" i="204" s="1"/>
  <c r="H50" i="202"/>
  <c r="G50" i="202"/>
  <c r="F50" i="202"/>
  <c r="E50" i="202"/>
  <c r="D50" i="202"/>
  <c r="C50" i="202"/>
  <c r="K49" i="202"/>
  <c r="P83" i="204" s="1"/>
  <c r="J49" i="202"/>
  <c r="O83" i="204" s="1"/>
  <c r="I49" i="202"/>
  <c r="N83" i="204" s="1"/>
  <c r="M83" i="204" s="1"/>
  <c r="H49" i="202"/>
  <c r="G49" i="202"/>
  <c r="F49" i="202"/>
  <c r="E49" i="202"/>
  <c r="D49" i="202"/>
  <c r="C49" i="202"/>
  <c r="K48" i="202"/>
  <c r="P82" i="204" s="1"/>
  <c r="J48" i="202"/>
  <c r="O82" i="204" s="1"/>
  <c r="I48" i="202"/>
  <c r="N82" i="204" s="1"/>
  <c r="M82" i="204" s="1"/>
  <c r="H48" i="202"/>
  <c r="G48" i="202"/>
  <c r="F48" i="202"/>
  <c r="E48" i="202"/>
  <c r="D48" i="202"/>
  <c r="C48" i="202"/>
  <c r="K47" i="202"/>
  <c r="P81" i="204" s="1"/>
  <c r="J47" i="202"/>
  <c r="O81" i="204" s="1"/>
  <c r="I47" i="202"/>
  <c r="N81" i="204" s="1"/>
  <c r="M81" i="204" s="1"/>
  <c r="H47" i="202"/>
  <c r="G47" i="202"/>
  <c r="F47" i="202"/>
  <c r="E47" i="202"/>
  <c r="D47" i="202"/>
  <c r="C47" i="202"/>
  <c r="K46" i="202"/>
  <c r="P80" i="204" s="1"/>
  <c r="J46" i="202"/>
  <c r="O80" i="204" s="1"/>
  <c r="I46" i="202"/>
  <c r="N80" i="204" s="1"/>
  <c r="M80" i="204" s="1"/>
  <c r="H46" i="202"/>
  <c r="G46" i="202"/>
  <c r="F46" i="202"/>
  <c r="E46" i="202"/>
  <c r="D46" i="202"/>
  <c r="C46" i="202"/>
  <c r="K45" i="202"/>
  <c r="P79" i="204" s="1"/>
  <c r="J45" i="202"/>
  <c r="O79" i="204" s="1"/>
  <c r="I45" i="202"/>
  <c r="N79" i="204" s="1"/>
  <c r="M79" i="204" s="1"/>
  <c r="H45" i="202"/>
  <c r="G45" i="202"/>
  <c r="F45" i="202"/>
  <c r="E45" i="202"/>
  <c r="D45" i="202"/>
  <c r="C45" i="202"/>
  <c r="K43" i="202"/>
  <c r="P77" i="204" s="1"/>
  <c r="J43" i="202"/>
  <c r="O77" i="204" s="1"/>
  <c r="I43" i="202"/>
  <c r="N77" i="204" s="1"/>
  <c r="M77" i="204" s="1"/>
  <c r="H43" i="202"/>
  <c r="G43" i="202"/>
  <c r="F43" i="202"/>
  <c r="E43" i="202"/>
  <c r="D43" i="202"/>
  <c r="C43" i="202"/>
  <c r="K42" i="202"/>
  <c r="P76" i="204" s="1"/>
  <c r="J42" i="202"/>
  <c r="O76" i="204" s="1"/>
  <c r="I42" i="202"/>
  <c r="N76" i="204" s="1"/>
  <c r="M76" i="204" s="1"/>
  <c r="H42" i="202"/>
  <c r="G42" i="202"/>
  <c r="F42" i="202"/>
  <c r="E42" i="202"/>
  <c r="D42" i="202"/>
  <c r="C42" i="202"/>
  <c r="K41" i="202"/>
  <c r="P75" i="204" s="1"/>
  <c r="J41" i="202"/>
  <c r="O75" i="204" s="1"/>
  <c r="I41" i="202"/>
  <c r="N75" i="204" s="1"/>
  <c r="M75" i="204" s="1"/>
  <c r="H41" i="202"/>
  <c r="G41" i="202"/>
  <c r="F41" i="202"/>
  <c r="E41" i="202"/>
  <c r="D41" i="202"/>
  <c r="C41" i="202"/>
  <c r="K40" i="202"/>
  <c r="P74" i="204" s="1"/>
  <c r="J40" i="202"/>
  <c r="O74" i="204" s="1"/>
  <c r="I40" i="202"/>
  <c r="N74" i="204" s="1"/>
  <c r="M74" i="204" s="1"/>
  <c r="H40" i="202"/>
  <c r="G40" i="202"/>
  <c r="F40" i="202"/>
  <c r="E40" i="202"/>
  <c r="D40" i="202"/>
  <c r="C40" i="202"/>
  <c r="K39" i="202"/>
  <c r="P73" i="204" s="1"/>
  <c r="J39" i="202"/>
  <c r="O73" i="204" s="1"/>
  <c r="I39" i="202"/>
  <c r="N73" i="204" s="1"/>
  <c r="M73" i="204" s="1"/>
  <c r="H39" i="202"/>
  <c r="G39" i="202"/>
  <c r="F39" i="202"/>
  <c r="E39" i="202"/>
  <c r="D39" i="202"/>
  <c r="C39" i="202"/>
  <c r="K38" i="202"/>
  <c r="J38" i="202"/>
  <c r="O72" i="204" s="1"/>
  <c r="I38" i="202"/>
  <c r="N72" i="204" s="1"/>
  <c r="M72" i="204" s="1"/>
  <c r="H38" i="202"/>
  <c r="G38" i="202"/>
  <c r="F38" i="202"/>
  <c r="E38" i="202"/>
  <c r="D38" i="202"/>
  <c r="C38" i="202"/>
  <c r="K36" i="202"/>
  <c r="P70" i="204" s="1"/>
  <c r="J36" i="202"/>
  <c r="O70" i="204" s="1"/>
  <c r="I36" i="202"/>
  <c r="N70" i="204" s="1"/>
  <c r="M70" i="204" s="1"/>
  <c r="H36" i="202"/>
  <c r="G36" i="202"/>
  <c r="F36" i="202"/>
  <c r="E36" i="202"/>
  <c r="D36" i="202"/>
  <c r="C36" i="202"/>
  <c r="K35" i="202"/>
  <c r="P69" i="204" s="1"/>
  <c r="J35" i="202"/>
  <c r="O69" i="204" s="1"/>
  <c r="I35" i="202"/>
  <c r="N69" i="204" s="1"/>
  <c r="M69" i="204" s="1"/>
  <c r="H35" i="202"/>
  <c r="G35" i="202"/>
  <c r="F35" i="202"/>
  <c r="E35" i="202"/>
  <c r="D35" i="202"/>
  <c r="C35" i="202"/>
  <c r="K34" i="202"/>
  <c r="P68" i="204" s="1"/>
  <c r="J34" i="202"/>
  <c r="O68" i="204" s="1"/>
  <c r="I34" i="202"/>
  <c r="N68" i="204" s="1"/>
  <c r="M68" i="204" s="1"/>
  <c r="H34" i="202"/>
  <c r="G34" i="202"/>
  <c r="F34" i="202"/>
  <c r="E34" i="202"/>
  <c r="D34" i="202"/>
  <c r="C34" i="202"/>
  <c r="K33" i="202"/>
  <c r="P67" i="204" s="1"/>
  <c r="J33" i="202"/>
  <c r="O67" i="204" s="1"/>
  <c r="I33" i="202"/>
  <c r="N67" i="204" s="1"/>
  <c r="M67" i="204" s="1"/>
  <c r="H33" i="202"/>
  <c r="G33" i="202"/>
  <c r="F33" i="202"/>
  <c r="E33" i="202"/>
  <c r="D33" i="202"/>
  <c r="C33" i="202"/>
  <c r="K32" i="202"/>
  <c r="P66" i="204" s="1"/>
  <c r="J32" i="202"/>
  <c r="O66" i="204" s="1"/>
  <c r="I32" i="202"/>
  <c r="N66" i="204" s="1"/>
  <c r="M66" i="204" s="1"/>
  <c r="H32" i="202"/>
  <c r="G32" i="202"/>
  <c r="F32" i="202"/>
  <c r="E32" i="202"/>
  <c r="D32" i="202"/>
  <c r="C32" i="202"/>
  <c r="K31" i="202"/>
  <c r="P65" i="204" s="1"/>
  <c r="J31" i="202"/>
  <c r="O65" i="204" s="1"/>
  <c r="I31" i="202"/>
  <c r="N65" i="204" s="1"/>
  <c r="M65" i="204" s="1"/>
  <c r="H31" i="202"/>
  <c r="G31" i="202"/>
  <c r="F31" i="202"/>
  <c r="E31" i="202"/>
  <c r="D31" i="202"/>
  <c r="C31" i="202"/>
  <c r="K30" i="202"/>
  <c r="P64" i="204" s="1"/>
  <c r="J30" i="202"/>
  <c r="O64" i="204" s="1"/>
  <c r="I30" i="202"/>
  <c r="N64" i="204" s="1"/>
  <c r="M64" i="204" s="1"/>
  <c r="H30" i="202"/>
  <c r="G30" i="202"/>
  <c r="F30" i="202"/>
  <c r="E30" i="202"/>
  <c r="D30" i="202"/>
  <c r="C30" i="202"/>
  <c r="K29" i="202"/>
  <c r="P63" i="204" s="1"/>
  <c r="J29" i="202"/>
  <c r="O63" i="204" s="1"/>
  <c r="I29" i="202"/>
  <c r="N63" i="204" s="1"/>
  <c r="M63" i="204" s="1"/>
  <c r="H29" i="202"/>
  <c r="G29" i="202"/>
  <c r="F29" i="202"/>
  <c r="E29" i="202"/>
  <c r="D29" i="202"/>
  <c r="C29" i="202"/>
  <c r="K28" i="202"/>
  <c r="P62" i="204" s="1"/>
  <c r="J28" i="202"/>
  <c r="O62" i="204" s="1"/>
  <c r="I28" i="202"/>
  <c r="N62" i="204" s="1"/>
  <c r="M62" i="204" s="1"/>
  <c r="H28" i="202"/>
  <c r="G28" i="202"/>
  <c r="F28" i="202"/>
  <c r="E28" i="202"/>
  <c r="D28" i="202"/>
  <c r="C28" i="202"/>
  <c r="K27" i="202"/>
  <c r="P61" i="204" s="1"/>
  <c r="J27" i="202"/>
  <c r="O61" i="204" s="1"/>
  <c r="I27" i="202"/>
  <c r="N61" i="204" s="1"/>
  <c r="M61" i="204" s="1"/>
  <c r="H27" i="202"/>
  <c r="G27" i="202"/>
  <c r="F27" i="202"/>
  <c r="E27" i="202"/>
  <c r="D27" i="202"/>
  <c r="C27" i="202"/>
  <c r="K25" i="202"/>
  <c r="P59" i="204" s="1"/>
  <c r="J25" i="202"/>
  <c r="O59" i="204" s="1"/>
  <c r="I25" i="202"/>
  <c r="N59" i="204" s="1"/>
  <c r="M59" i="204" s="1"/>
  <c r="H25" i="202"/>
  <c r="G25" i="202"/>
  <c r="F25" i="202"/>
  <c r="E25" i="202"/>
  <c r="D25" i="202"/>
  <c r="C25" i="202"/>
  <c r="K24" i="202"/>
  <c r="P58" i="204" s="1"/>
  <c r="J24" i="202"/>
  <c r="O58" i="204" s="1"/>
  <c r="I24" i="202"/>
  <c r="N58" i="204" s="1"/>
  <c r="M58" i="204" s="1"/>
  <c r="H24" i="202"/>
  <c r="G24" i="202"/>
  <c r="F24" i="202"/>
  <c r="E24" i="202"/>
  <c r="D24" i="202"/>
  <c r="C24" i="202"/>
  <c r="K23" i="202"/>
  <c r="P57" i="204" s="1"/>
  <c r="J23" i="202"/>
  <c r="O57" i="204" s="1"/>
  <c r="I23" i="202"/>
  <c r="N57" i="204" s="1"/>
  <c r="M57" i="204" s="1"/>
  <c r="H23" i="202"/>
  <c r="G23" i="202"/>
  <c r="F23" i="202"/>
  <c r="E23" i="202"/>
  <c r="D23" i="202"/>
  <c r="C23" i="202"/>
  <c r="K22" i="202"/>
  <c r="P56" i="204" s="1"/>
  <c r="J22" i="202"/>
  <c r="O56" i="204" s="1"/>
  <c r="I22" i="202"/>
  <c r="N56" i="204" s="1"/>
  <c r="M56" i="204" s="1"/>
  <c r="H22" i="202"/>
  <c r="G22" i="202"/>
  <c r="F22" i="202"/>
  <c r="E22" i="202"/>
  <c r="D22" i="202"/>
  <c r="C22" i="202"/>
  <c r="K21" i="202"/>
  <c r="P55" i="204" s="1"/>
  <c r="J21" i="202"/>
  <c r="O55" i="204" s="1"/>
  <c r="I21" i="202"/>
  <c r="N55" i="204" s="1"/>
  <c r="M55" i="204" s="1"/>
  <c r="H21" i="202"/>
  <c r="G21" i="202"/>
  <c r="F21" i="202"/>
  <c r="E21" i="202"/>
  <c r="D21" i="202"/>
  <c r="C21" i="202"/>
  <c r="K20" i="202"/>
  <c r="P54" i="204" s="1"/>
  <c r="J20" i="202"/>
  <c r="O54" i="204" s="1"/>
  <c r="I20" i="202"/>
  <c r="N54" i="204" s="1"/>
  <c r="M54" i="204" s="1"/>
  <c r="H20" i="202"/>
  <c r="G20" i="202"/>
  <c r="F20" i="202"/>
  <c r="E20" i="202"/>
  <c r="D20" i="202"/>
  <c r="C20" i="202"/>
  <c r="K19" i="202"/>
  <c r="P53" i="204" s="1"/>
  <c r="J19" i="202"/>
  <c r="O53" i="204" s="1"/>
  <c r="I19" i="202"/>
  <c r="N53" i="204" s="1"/>
  <c r="M53" i="204" s="1"/>
  <c r="H19" i="202"/>
  <c r="G19" i="202"/>
  <c r="F19" i="202"/>
  <c r="E19" i="202"/>
  <c r="D19" i="202"/>
  <c r="C19" i="202"/>
  <c r="K18" i="202"/>
  <c r="P52" i="204" s="1"/>
  <c r="J18" i="202"/>
  <c r="O52" i="204" s="1"/>
  <c r="I18" i="202"/>
  <c r="N52" i="204" s="1"/>
  <c r="M52" i="204" s="1"/>
  <c r="H18" i="202"/>
  <c r="G18" i="202"/>
  <c r="F18" i="202"/>
  <c r="E18" i="202"/>
  <c r="D18" i="202"/>
  <c r="C18" i="202"/>
  <c r="K17" i="202"/>
  <c r="P51" i="204" s="1"/>
  <c r="J17" i="202"/>
  <c r="I17" i="202"/>
  <c r="N51" i="204" s="1"/>
  <c r="M51" i="204" s="1"/>
  <c r="H17" i="202"/>
  <c r="G17" i="202"/>
  <c r="F17" i="202"/>
  <c r="E17" i="202"/>
  <c r="D17" i="202"/>
  <c r="C17" i="202"/>
  <c r="K15" i="202"/>
  <c r="P49" i="204" s="1"/>
  <c r="J15" i="202"/>
  <c r="O49" i="204" s="1"/>
  <c r="I15" i="202"/>
  <c r="N49" i="204" s="1"/>
  <c r="M49" i="204" s="1"/>
  <c r="H15" i="202"/>
  <c r="G15" i="202"/>
  <c r="F15" i="202"/>
  <c r="E15" i="202"/>
  <c r="D15" i="202"/>
  <c r="C15" i="202"/>
  <c r="K14" i="202"/>
  <c r="P48" i="204" s="1"/>
  <c r="J14" i="202"/>
  <c r="O48" i="204" s="1"/>
  <c r="I14" i="202"/>
  <c r="N48" i="204" s="1"/>
  <c r="M48" i="204" s="1"/>
  <c r="H14" i="202"/>
  <c r="G14" i="202"/>
  <c r="F14" i="202"/>
  <c r="E14" i="202"/>
  <c r="D14" i="202"/>
  <c r="C14" i="202"/>
  <c r="K13" i="202"/>
  <c r="P47" i="204" s="1"/>
  <c r="J13" i="202"/>
  <c r="O47" i="204" s="1"/>
  <c r="I13" i="202"/>
  <c r="N47" i="204" s="1"/>
  <c r="M47" i="204" s="1"/>
  <c r="H13" i="202"/>
  <c r="G13" i="202"/>
  <c r="F13" i="202"/>
  <c r="E13" i="202"/>
  <c r="D13" i="202"/>
  <c r="D12" i="202" s="1"/>
  <c r="C13" i="202"/>
  <c r="K11" i="202"/>
  <c r="P45" i="204" s="1"/>
  <c r="J11" i="202"/>
  <c r="O45" i="204" s="1"/>
  <c r="I11" i="202"/>
  <c r="N45" i="204" s="1"/>
  <c r="M45" i="204" s="1"/>
  <c r="H11" i="202"/>
  <c r="G11" i="202"/>
  <c r="F11" i="202"/>
  <c r="E11" i="202"/>
  <c r="D11" i="202"/>
  <c r="C11" i="202"/>
  <c r="K10" i="202"/>
  <c r="P44" i="204" s="1"/>
  <c r="J10" i="202"/>
  <c r="O44" i="204" s="1"/>
  <c r="I10" i="202"/>
  <c r="N44" i="204" s="1"/>
  <c r="M44" i="204" s="1"/>
  <c r="H10" i="202"/>
  <c r="G10" i="202"/>
  <c r="F10" i="202"/>
  <c r="E10" i="202"/>
  <c r="D10" i="202"/>
  <c r="C10" i="202"/>
  <c r="K9" i="202"/>
  <c r="P43" i="204" s="1"/>
  <c r="J9" i="202"/>
  <c r="O43" i="204" s="1"/>
  <c r="I9" i="202"/>
  <c r="N43" i="204" s="1"/>
  <c r="M43" i="204" s="1"/>
  <c r="H9" i="202"/>
  <c r="G9" i="202"/>
  <c r="F9" i="202"/>
  <c r="E9" i="202"/>
  <c r="D9" i="202"/>
  <c r="C9" i="202"/>
  <c r="K8" i="202"/>
  <c r="P42" i="204" s="1"/>
  <c r="J8" i="202"/>
  <c r="I8" i="202"/>
  <c r="N42" i="204" s="1"/>
  <c r="M42" i="204" s="1"/>
  <c r="H8" i="202"/>
  <c r="G8" i="202"/>
  <c r="F8" i="202"/>
  <c r="E8" i="202"/>
  <c r="D8" i="202"/>
  <c r="C8" i="202"/>
  <c r="B95" i="100"/>
  <c r="A1" i="344" s="1"/>
  <c r="B96" i="100"/>
  <c r="A1" i="343" s="1"/>
  <c r="K164" i="344"/>
  <c r="J164" i="344"/>
  <c r="I164" i="344"/>
  <c r="H164" i="344"/>
  <c r="G164" i="344"/>
  <c r="F164" i="344"/>
  <c r="E164" i="344"/>
  <c r="D164" i="344"/>
  <c r="C164" i="344"/>
  <c r="K161" i="344"/>
  <c r="J161" i="344"/>
  <c r="I161" i="344"/>
  <c r="H161" i="344"/>
  <c r="G161" i="344"/>
  <c r="F161" i="344"/>
  <c r="E161" i="344"/>
  <c r="D161" i="344"/>
  <c r="C161" i="344"/>
  <c r="K158" i="344"/>
  <c r="J158" i="344"/>
  <c r="I158" i="344"/>
  <c r="H158" i="344"/>
  <c r="G158" i="344"/>
  <c r="F158" i="344"/>
  <c r="E158" i="344"/>
  <c r="D158" i="344"/>
  <c r="C158" i="344"/>
  <c r="K155" i="344"/>
  <c r="J155" i="344"/>
  <c r="I155" i="344"/>
  <c r="H155" i="344"/>
  <c r="G155" i="344"/>
  <c r="F155" i="344"/>
  <c r="E155" i="344"/>
  <c r="D155" i="344"/>
  <c r="C155" i="344"/>
  <c r="K152" i="344"/>
  <c r="J152" i="344"/>
  <c r="I152" i="344"/>
  <c r="H152" i="344"/>
  <c r="G152" i="344"/>
  <c r="F152" i="344"/>
  <c r="E152" i="344"/>
  <c r="D152" i="344"/>
  <c r="C152" i="344"/>
  <c r="K149" i="344"/>
  <c r="J149" i="344"/>
  <c r="I149" i="344"/>
  <c r="H149" i="344"/>
  <c r="G149" i="344"/>
  <c r="F149" i="344"/>
  <c r="E149" i="344"/>
  <c r="D149" i="344"/>
  <c r="C149" i="344"/>
  <c r="K141" i="344"/>
  <c r="K139" i="344" s="1"/>
  <c r="J141" i="344"/>
  <c r="J139" i="344" s="1"/>
  <c r="I141" i="344"/>
  <c r="I139" i="344" s="1"/>
  <c r="H141" i="344"/>
  <c r="H139" i="344" s="1"/>
  <c r="G141" i="344"/>
  <c r="G139" i="344" s="1"/>
  <c r="F141" i="344"/>
  <c r="F139" i="344" s="1"/>
  <c r="E141" i="344"/>
  <c r="E139" i="344" s="1"/>
  <c r="D141" i="344"/>
  <c r="D139" i="344" s="1"/>
  <c r="C141" i="344"/>
  <c r="C139" i="344" s="1"/>
  <c r="K136" i="344"/>
  <c r="J136" i="344"/>
  <c r="I136" i="344"/>
  <c r="H136" i="344"/>
  <c r="G136" i="344"/>
  <c r="F136" i="344"/>
  <c r="E136" i="344"/>
  <c r="D136" i="344"/>
  <c r="C136" i="344"/>
  <c r="K131" i="344"/>
  <c r="J131" i="344"/>
  <c r="I131" i="344"/>
  <c r="H131" i="344"/>
  <c r="G131" i="344"/>
  <c r="F131" i="344"/>
  <c r="E131" i="344"/>
  <c r="D131" i="344"/>
  <c r="C131" i="344"/>
  <c r="K119" i="344"/>
  <c r="J119" i="344"/>
  <c r="J118" i="344" s="1"/>
  <c r="I119" i="344"/>
  <c r="I118" i="344" s="1"/>
  <c r="H119" i="344"/>
  <c r="H118" i="344" s="1"/>
  <c r="G119" i="344"/>
  <c r="F119" i="344"/>
  <c r="F118" i="344" s="1"/>
  <c r="E119" i="344"/>
  <c r="D119" i="344"/>
  <c r="C119" i="344"/>
  <c r="K114" i="344"/>
  <c r="J114" i="344"/>
  <c r="I114" i="344"/>
  <c r="I110" i="344" s="1"/>
  <c r="H114" i="344"/>
  <c r="G114" i="344"/>
  <c r="F114" i="344"/>
  <c r="E114" i="344"/>
  <c r="E110" i="344" s="1"/>
  <c r="D114" i="344"/>
  <c r="C114" i="344"/>
  <c r="K111" i="344"/>
  <c r="J111" i="344"/>
  <c r="J110" i="344" s="1"/>
  <c r="I111" i="344"/>
  <c r="H111" i="344"/>
  <c r="H110" i="344" s="1"/>
  <c r="G111" i="344"/>
  <c r="G110" i="344" s="1"/>
  <c r="F111" i="344"/>
  <c r="E111" i="344"/>
  <c r="D111" i="344"/>
  <c r="D110" i="344" s="1"/>
  <c r="C111" i="344"/>
  <c r="C110" i="344" s="1"/>
  <c r="K103" i="344"/>
  <c r="J103" i="344"/>
  <c r="I103" i="344"/>
  <c r="H103" i="344"/>
  <c r="G103" i="344"/>
  <c r="F103" i="344"/>
  <c r="E103" i="344"/>
  <c r="D103" i="344"/>
  <c r="C103" i="344"/>
  <c r="K98" i="344"/>
  <c r="J98" i="344"/>
  <c r="I98" i="344"/>
  <c r="H98" i="344"/>
  <c r="G98" i="344"/>
  <c r="F98" i="344"/>
  <c r="E98" i="344"/>
  <c r="D98" i="344"/>
  <c r="C98" i="344"/>
  <c r="K75" i="344"/>
  <c r="J75" i="344"/>
  <c r="J74" i="344" s="1"/>
  <c r="I75" i="344"/>
  <c r="I74" i="344" s="1"/>
  <c r="H75" i="344"/>
  <c r="G75" i="344"/>
  <c r="F75" i="344"/>
  <c r="E75" i="344"/>
  <c r="E74" i="344" s="1"/>
  <c r="D75" i="344"/>
  <c r="C75" i="344"/>
  <c r="K68" i="344"/>
  <c r="J68" i="344"/>
  <c r="I68" i="344"/>
  <c r="H68" i="344"/>
  <c r="G68" i="344"/>
  <c r="F68" i="344"/>
  <c r="E68" i="344"/>
  <c r="D68" i="344"/>
  <c r="C68" i="344"/>
  <c r="K62" i="344"/>
  <c r="J62" i="344"/>
  <c r="I62" i="344"/>
  <c r="H62" i="344"/>
  <c r="G62" i="344"/>
  <c r="F62" i="344"/>
  <c r="E62" i="344"/>
  <c r="D62" i="344"/>
  <c r="C62" i="344"/>
  <c r="K52" i="344"/>
  <c r="J52" i="344"/>
  <c r="I52" i="344"/>
  <c r="H52" i="344"/>
  <c r="G52" i="344"/>
  <c r="F52" i="344"/>
  <c r="E52" i="344"/>
  <c r="D52" i="344"/>
  <c r="C52" i="344"/>
  <c r="K44" i="344"/>
  <c r="J44" i="344"/>
  <c r="I44" i="344"/>
  <c r="H44" i="344"/>
  <c r="G44" i="344"/>
  <c r="F44" i="344"/>
  <c r="E44" i="344"/>
  <c r="D44" i="344"/>
  <c r="C44" i="344"/>
  <c r="K37" i="344"/>
  <c r="J37" i="344"/>
  <c r="I37" i="344"/>
  <c r="H37" i="344"/>
  <c r="G37" i="344"/>
  <c r="F37" i="344"/>
  <c r="E37" i="344"/>
  <c r="D37" i="344"/>
  <c r="C37" i="344"/>
  <c r="K26" i="344"/>
  <c r="K6" i="344" s="1"/>
  <c r="J26" i="344"/>
  <c r="I26" i="344"/>
  <c r="H26" i="344"/>
  <c r="G26" i="344"/>
  <c r="F26" i="344"/>
  <c r="E26" i="344"/>
  <c r="D26" i="344"/>
  <c r="C26" i="344"/>
  <c r="K16" i="344"/>
  <c r="J16" i="344"/>
  <c r="I16" i="344"/>
  <c r="H16" i="344"/>
  <c r="G16" i="344"/>
  <c r="F16" i="344"/>
  <c r="E16" i="344"/>
  <c r="D16" i="344"/>
  <c r="C16" i="344"/>
  <c r="K12" i="344"/>
  <c r="J12" i="344"/>
  <c r="I12" i="344"/>
  <c r="H12" i="344"/>
  <c r="G12" i="344"/>
  <c r="F12" i="344"/>
  <c r="E12" i="344"/>
  <c r="D12" i="344"/>
  <c r="C12" i="344"/>
  <c r="K7" i="344"/>
  <c r="J7" i="344"/>
  <c r="I7" i="344"/>
  <c r="H7" i="344"/>
  <c r="G7" i="344"/>
  <c r="F7" i="344"/>
  <c r="E7" i="344"/>
  <c r="D7" i="344"/>
  <c r="C7" i="344"/>
  <c r="H3" i="344"/>
  <c r="G3" i="344"/>
  <c r="F3" i="344"/>
  <c r="E3" i="344"/>
  <c r="D3" i="344"/>
  <c r="C3" i="344"/>
  <c r="I2" i="344"/>
  <c r="B2" i="344"/>
  <c r="A2" i="344"/>
  <c r="A168" i="343"/>
  <c r="K164" i="343"/>
  <c r="J164" i="343"/>
  <c r="I164" i="343"/>
  <c r="H164" i="343"/>
  <c r="G164" i="343"/>
  <c r="F164" i="343"/>
  <c r="E164" i="343"/>
  <c r="D164" i="343"/>
  <c r="C164" i="343"/>
  <c r="K161" i="343"/>
  <c r="J161" i="343"/>
  <c r="I161" i="343"/>
  <c r="H161" i="343"/>
  <c r="G161" i="343"/>
  <c r="F161" i="343"/>
  <c r="E161" i="343"/>
  <c r="D161" i="343"/>
  <c r="C161" i="343"/>
  <c r="K158" i="343"/>
  <c r="J158" i="343"/>
  <c r="I158" i="343"/>
  <c r="H158" i="343"/>
  <c r="G158" i="343"/>
  <c r="F158" i="343"/>
  <c r="E158" i="343"/>
  <c r="D158" i="343"/>
  <c r="C158" i="343"/>
  <c r="K155" i="343"/>
  <c r="J155" i="343"/>
  <c r="I155" i="343"/>
  <c r="H155" i="343"/>
  <c r="G155" i="343"/>
  <c r="F155" i="343"/>
  <c r="E155" i="343"/>
  <c r="D155" i="343"/>
  <c r="C155" i="343"/>
  <c r="K152" i="343"/>
  <c r="J152" i="343"/>
  <c r="I152" i="343"/>
  <c r="H152" i="343"/>
  <c r="G152" i="343"/>
  <c r="F152" i="343"/>
  <c r="E152" i="343"/>
  <c r="D152" i="343"/>
  <c r="C152" i="343"/>
  <c r="K149" i="343"/>
  <c r="J149" i="343"/>
  <c r="I149" i="343"/>
  <c r="H149" i="343"/>
  <c r="G149" i="343"/>
  <c r="F149" i="343"/>
  <c r="E149" i="343"/>
  <c r="D149" i="343"/>
  <c r="C149" i="343"/>
  <c r="K141" i="343"/>
  <c r="K139" i="343" s="1"/>
  <c r="J141" i="343"/>
  <c r="J139" i="343" s="1"/>
  <c r="I141" i="343"/>
  <c r="I139" i="343"/>
  <c r="H141" i="343"/>
  <c r="H139" i="343" s="1"/>
  <c r="G141" i="343"/>
  <c r="G139" i="343" s="1"/>
  <c r="F141" i="343"/>
  <c r="F139" i="343" s="1"/>
  <c r="E141" i="343"/>
  <c r="E139" i="343" s="1"/>
  <c r="D141" i="343"/>
  <c r="D139" i="343" s="1"/>
  <c r="C141" i="343"/>
  <c r="C139" i="343" s="1"/>
  <c r="K136" i="343"/>
  <c r="J136" i="343"/>
  <c r="I136" i="343"/>
  <c r="H136" i="343"/>
  <c r="G136" i="343"/>
  <c r="F136" i="343"/>
  <c r="E136" i="343"/>
  <c r="D136" i="343"/>
  <c r="C136" i="343"/>
  <c r="K131" i="343"/>
  <c r="J131" i="343"/>
  <c r="I131" i="343"/>
  <c r="I118" i="343" s="1"/>
  <c r="H131" i="343"/>
  <c r="G131" i="343"/>
  <c r="F131" i="343"/>
  <c r="F118" i="343" s="1"/>
  <c r="E131" i="343"/>
  <c r="D131" i="343"/>
  <c r="C131" i="343"/>
  <c r="K119" i="343"/>
  <c r="K118" i="343" s="1"/>
  <c r="J119" i="343"/>
  <c r="I119" i="343"/>
  <c r="H119" i="343"/>
  <c r="G119" i="343"/>
  <c r="F119" i="343"/>
  <c r="E119" i="343"/>
  <c r="D119" i="343"/>
  <c r="C119" i="343"/>
  <c r="K114" i="343"/>
  <c r="J114" i="343"/>
  <c r="I114" i="343"/>
  <c r="H114" i="343"/>
  <c r="H110" i="343" s="1"/>
  <c r="G114" i="343"/>
  <c r="F114" i="343"/>
  <c r="E114" i="343"/>
  <c r="D114" i="343"/>
  <c r="C114" i="343"/>
  <c r="K111" i="343"/>
  <c r="K110" i="343" s="1"/>
  <c r="J111" i="343"/>
  <c r="J110" i="343" s="1"/>
  <c r="I111" i="343"/>
  <c r="H111" i="343"/>
  <c r="G111" i="343"/>
  <c r="F111" i="343"/>
  <c r="F110" i="343" s="1"/>
  <c r="E111" i="343"/>
  <c r="D111" i="343"/>
  <c r="C111" i="343"/>
  <c r="C110" i="343" s="1"/>
  <c r="K103" i="343"/>
  <c r="J103" i="343"/>
  <c r="I103" i="343"/>
  <c r="H103" i="343"/>
  <c r="G103" i="343"/>
  <c r="F103" i="343"/>
  <c r="E103" i="343"/>
  <c r="D103" i="343"/>
  <c r="C103" i="343"/>
  <c r="K98" i="343"/>
  <c r="J98" i="343"/>
  <c r="I98" i="343"/>
  <c r="H98" i="343"/>
  <c r="G98" i="343"/>
  <c r="F98" i="343"/>
  <c r="E98" i="343"/>
  <c r="D98" i="343"/>
  <c r="D74" i="343" s="1"/>
  <c r="C98" i="343"/>
  <c r="K75" i="343"/>
  <c r="J75" i="343"/>
  <c r="I75" i="343"/>
  <c r="H75" i="343"/>
  <c r="G75" i="343"/>
  <c r="G74" i="343" s="1"/>
  <c r="F75" i="343"/>
  <c r="E75" i="343"/>
  <c r="D75" i="343"/>
  <c r="C75" i="343"/>
  <c r="K68" i="343"/>
  <c r="J68" i="343"/>
  <c r="I68" i="343"/>
  <c r="H68" i="343"/>
  <c r="G68" i="343"/>
  <c r="F68" i="343"/>
  <c r="E68" i="343"/>
  <c r="D68" i="343"/>
  <c r="C68" i="343"/>
  <c r="K62" i="343"/>
  <c r="J62" i="343"/>
  <c r="I62" i="343"/>
  <c r="H62" i="343"/>
  <c r="G62" i="343"/>
  <c r="F62" i="343"/>
  <c r="E62" i="343"/>
  <c r="D62" i="343"/>
  <c r="C62" i="343"/>
  <c r="K52" i="343"/>
  <c r="J52" i="343"/>
  <c r="I52" i="343"/>
  <c r="H52" i="343"/>
  <c r="G52" i="343"/>
  <c r="F52" i="343"/>
  <c r="E52" i="343"/>
  <c r="D52" i="343"/>
  <c r="C52" i="343"/>
  <c r="K44" i="343"/>
  <c r="J44" i="343"/>
  <c r="I44" i="343"/>
  <c r="H44" i="343"/>
  <c r="G44" i="343"/>
  <c r="F44" i="343"/>
  <c r="E44" i="343"/>
  <c r="D44" i="343"/>
  <c r="C44" i="343"/>
  <c r="K37" i="343"/>
  <c r="J37" i="343"/>
  <c r="I37" i="343"/>
  <c r="H37" i="343"/>
  <c r="G37" i="343"/>
  <c r="F37" i="343"/>
  <c r="E37" i="343"/>
  <c r="D37" i="343"/>
  <c r="C37" i="343"/>
  <c r="K26" i="343"/>
  <c r="J26" i="343"/>
  <c r="I26" i="343"/>
  <c r="H26" i="343"/>
  <c r="G26" i="343"/>
  <c r="F26" i="343"/>
  <c r="E26" i="343"/>
  <c r="D26" i="343"/>
  <c r="C26" i="343"/>
  <c r="K16" i="343"/>
  <c r="J16" i="343"/>
  <c r="I16" i="343"/>
  <c r="H16" i="343"/>
  <c r="G16" i="343"/>
  <c r="F16" i="343"/>
  <c r="E16" i="343"/>
  <c r="D16" i="343"/>
  <c r="C16" i="343"/>
  <c r="K12" i="343"/>
  <c r="J12" i="343"/>
  <c r="I12" i="343"/>
  <c r="H12" i="343"/>
  <c r="G12" i="343"/>
  <c r="F12" i="343"/>
  <c r="E12" i="343"/>
  <c r="D12" i="343"/>
  <c r="C12" i="343"/>
  <c r="K7" i="343"/>
  <c r="J7" i="343"/>
  <c r="I7" i="343"/>
  <c r="H7" i="343"/>
  <c r="G7" i="343"/>
  <c r="F7" i="343"/>
  <c r="E7" i="343"/>
  <c r="D7" i="343"/>
  <c r="C7" i="343"/>
  <c r="H3" i="343"/>
  <c r="G3" i="343"/>
  <c r="F3" i="343"/>
  <c r="E3" i="343"/>
  <c r="D3" i="343"/>
  <c r="C3" i="343"/>
  <c r="I2" i="343"/>
  <c r="B2" i="343"/>
  <c r="A2" i="343"/>
  <c r="K164" i="342"/>
  <c r="J164" i="342"/>
  <c r="I164" i="342"/>
  <c r="H164" i="342"/>
  <c r="G164" i="342"/>
  <c r="F164" i="342"/>
  <c r="E164" i="342"/>
  <c r="D164" i="342"/>
  <c r="C164" i="342"/>
  <c r="K161" i="342"/>
  <c r="J161" i="342"/>
  <c r="I161" i="342"/>
  <c r="H161" i="342"/>
  <c r="G161" i="342"/>
  <c r="F161" i="342"/>
  <c r="E161" i="342"/>
  <c r="D161" i="342"/>
  <c r="C161" i="342"/>
  <c r="K158" i="342"/>
  <c r="J158" i="342"/>
  <c r="I158" i="342"/>
  <c r="H158" i="342"/>
  <c r="G158" i="342"/>
  <c r="F158" i="342"/>
  <c r="E158" i="342"/>
  <c r="D158" i="342"/>
  <c r="C158" i="342"/>
  <c r="K155" i="342"/>
  <c r="J155" i="342"/>
  <c r="I155" i="342"/>
  <c r="H155" i="342"/>
  <c r="G155" i="342"/>
  <c r="F155" i="342"/>
  <c r="E155" i="342"/>
  <c r="D155" i="342"/>
  <c r="C155" i="342"/>
  <c r="K152" i="342"/>
  <c r="J152" i="342"/>
  <c r="I152" i="342"/>
  <c r="H152" i="342"/>
  <c r="G152" i="342"/>
  <c r="F152" i="342"/>
  <c r="E152" i="342"/>
  <c r="D152" i="342"/>
  <c r="C152" i="342"/>
  <c r="K149" i="342"/>
  <c r="J149" i="342"/>
  <c r="I149" i="342"/>
  <c r="H149" i="342"/>
  <c r="G149" i="342"/>
  <c r="F149" i="342"/>
  <c r="E149" i="342"/>
  <c r="D149" i="342"/>
  <c r="C149" i="342"/>
  <c r="K141" i="342"/>
  <c r="K139" i="342" s="1"/>
  <c r="J141" i="342"/>
  <c r="J139" i="342" s="1"/>
  <c r="I141" i="342"/>
  <c r="I139" i="342" s="1"/>
  <c r="H141" i="342"/>
  <c r="H139" i="342" s="1"/>
  <c r="G141" i="342"/>
  <c r="G139" i="342" s="1"/>
  <c r="F141" i="342"/>
  <c r="F139" i="342" s="1"/>
  <c r="E141" i="342"/>
  <c r="E139" i="342" s="1"/>
  <c r="D141" i="342"/>
  <c r="D139" i="342" s="1"/>
  <c r="C141" i="342"/>
  <c r="C139" i="342"/>
  <c r="K136" i="342"/>
  <c r="J136" i="342"/>
  <c r="I136" i="342"/>
  <c r="H136" i="342"/>
  <c r="G136" i="342"/>
  <c r="F136" i="342"/>
  <c r="E136" i="342"/>
  <c r="D136" i="342"/>
  <c r="C136" i="342"/>
  <c r="K131" i="342"/>
  <c r="J131" i="342"/>
  <c r="I131" i="342"/>
  <c r="H131" i="342"/>
  <c r="G131" i="342"/>
  <c r="F131" i="342"/>
  <c r="E131" i="342"/>
  <c r="D131" i="342"/>
  <c r="C131" i="342"/>
  <c r="K119" i="342"/>
  <c r="J119" i="342"/>
  <c r="J118" i="342" s="1"/>
  <c r="I119" i="342"/>
  <c r="H119" i="342"/>
  <c r="G119" i="342"/>
  <c r="G118" i="342" s="1"/>
  <c r="F119" i="342"/>
  <c r="F118" i="342" s="1"/>
  <c r="E119" i="342"/>
  <c r="D119" i="342"/>
  <c r="C119" i="342"/>
  <c r="C118" i="342" s="1"/>
  <c r="K114" i="342"/>
  <c r="J114" i="342"/>
  <c r="J110" i="342" s="1"/>
  <c r="I114" i="342"/>
  <c r="H114" i="342"/>
  <c r="G114" i="342"/>
  <c r="F114" i="342"/>
  <c r="E114" i="342"/>
  <c r="D114" i="342"/>
  <c r="C114" i="342"/>
  <c r="K111" i="342"/>
  <c r="J111" i="342"/>
  <c r="I111" i="342"/>
  <c r="H111" i="342"/>
  <c r="G111" i="342"/>
  <c r="F111" i="342"/>
  <c r="E111" i="342"/>
  <c r="E110" i="342" s="1"/>
  <c r="D111" i="342"/>
  <c r="C111" i="342"/>
  <c r="K103" i="342"/>
  <c r="J103" i="342"/>
  <c r="I103" i="342"/>
  <c r="H103" i="342"/>
  <c r="G103" i="342"/>
  <c r="F103" i="342"/>
  <c r="E103" i="342"/>
  <c r="D103" i="342"/>
  <c r="C103" i="342"/>
  <c r="K98" i="342"/>
  <c r="K74" i="342" s="1"/>
  <c r="J98" i="342"/>
  <c r="I98" i="342"/>
  <c r="H98" i="342"/>
  <c r="G98" i="342"/>
  <c r="F98" i="342"/>
  <c r="E98" i="342"/>
  <c r="D98" i="342"/>
  <c r="C98" i="342"/>
  <c r="C74" i="342" s="1"/>
  <c r="K75" i="342"/>
  <c r="J75" i="342"/>
  <c r="I75" i="342"/>
  <c r="H75" i="342"/>
  <c r="G75" i="342"/>
  <c r="F75" i="342"/>
  <c r="F74" i="342" s="1"/>
  <c r="E75" i="342"/>
  <c r="D75" i="342"/>
  <c r="C75" i="342"/>
  <c r="K68" i="342"/>
  <c r="J68" i="342"/>
  <c r="I68" i="342"/>
  <c r="H68" i="342"/>
  <c r="G68" i="342"/>
  <c r="F68" i="342"/>
  <c r="E68" i="342"/>
  <c r="D68" i="342"/>
  <c r="C68" i="342"/>
  <c r="K62" i="342"/>
  <c r="J62" i="342"/>
  <c r="I62" i="342"/>
  <c r="H62" i="342"/>
  <c r="G62" i="342"/>
  <c r="F62" i="342"/>
  <c r="E62" i="342"/>
  <c r="D62" i="342"/>
  <c r="C62" i="342"/>
  <c r="K52" i="342"/>
  <c r="J52" i="342"/>
  <c r="I52" i="342"/>
  <c r="H52" i="342"/>
  <c r="G52" i="342"/>
  <c r="F52" i="342"/>
  <c r="E52" i="342"/>
  <c r="D52" i="342"/>
  <c r="C52" i="342"/>
  <c r="K44" i="342"/>
  <c r="J44" i="342"/>
  <c r="I44" i="342"/>
  <c r="H44" i="342"/>
  <c r="G44" i="342"/>
  <c r="F44" i="342"/>
  <c r="E44" i="342"/>
  <c r="D44" i="342"/>
  <c r="C44" i="342"/>
  <c r="K37" i="342"/>
  <c r="J37" i="342"/>
  <c r="I37" i="342"/>
  <c r="H37" i="342"/>
  <c r="G37" i="342"/>
  <c r="F37" i="342"/>
  <c r="E37" i="342"/>
  <c r="D37" i="342"/>
  <c r="C37" i="342"/>
  <c r="K26" i="342"/>
  <c r="J26" i="342"/>
  <c r="I26" i="342"/>
  <c r="H26" i="342"/>
  <c r="G26" i="342"/>
  <c r="F26" i="342"/>
  <c r="E26" i="342"/>
  <c r="D26" i="342"/>
  <c r="C26" i="342"/>
  <c r="K16" i="342"/>
  <c r="K6" i="342" s="1"/>
  <c r="J16" i="342"/>
  <c r="I16" i="342"/>
  <c r="H16" i="342"/>
  <c r="G16" i="342"/>
  <c r="F16" i="342"/>
  <c r="E16" i="342"/>
  <c r="D16" i="342"/>
  <c r="C16" i="342"/>
  <c r="K12" i="342"/>
  <c r="J12" i="342"/>
  <c r="I12" i="342"/>
  <c r="H12" i="342"/>
  <c r="G12" i="342"/>
  <c r="F12" i="342"/>
  <c r="E12" i="342"/>
  <c r="D12" i="342"/>
  <c r="C12" i="342"/>
  <c r="K7" i="342"/>
  <c r="J7" i="342"/>
  <c r="I7" i="342"/>
  <c r="H7" i="342"/>
  <c r="G7" i="342"/>
  <c r="F7" i="342"/>
  <c r="E7" i="342"/>
  <c r="D7" i="342"/>
  <c r="C7" i="342"/>
  <c r="K164" i="341"/>
  <c r="J164" i="341"/>
  <c r="I164" i="341"/>
  <c r="H164" i="341"/>
  <c r="G164" i="341"/>
  <c r="F164" i="341"/>
  <c r="E164" i="341"/>
  <c r="D164" i="341"/>
  <c r="C164" i="341"/>
  <c r="K161" i="341"/>
  <c r="J161" i="341"/>
  <c r="I161" i="341"/>
  <c r="H161" i="341"/>
  <c r="G161" i="341"/>
  <c r="F161" i="341"/>
  <c r="E161" i="341"/>
  <c r="D161" i="341"/>
  <c r="C161" i="341"/>
  <c r="K158" i="341"/>
  <c r="J158" i="341"/>
  <c r="I158" i="341"/>
  <c r="H158" i="341"/>
  <c r="G158" i="341"/>
  <c r="F158" i="341"/>
  <c r="E158" i="341"/>
  <c r="D158" i="341"/>
  <c r="C158" i="341"/>
  <c r="K155" i="341"/>
  <c r="J155" i="341"/>
  <c r="I155" i="341"/>
  <c r="H155" i="341"/>
  <c r="G155" i="341"/>
  <c r="F155" i="341"/>
  <c r="E155" i="341"/>
  <c r="D155" i="341"/>
  <c r="C155" i="341"/>
  <c r="K152" i="341"/>
  <c r="J152" i="341"/>
  <c r="I152" i="341"/>
  <c r="H152" i="341"/>
  <c r="G152" i="341"/>
  <c r="F152" i="341"/>
  <c r="E152" i="341"/>
  <c r="D152" i="341"/>
  <c r="C152" i="341"/>
  <c r="K149" i="341"/>
  <c r="J149" i="341"/>
  <c r="I149" i="341"/>
  <c r="H149" i="341"/>
  <c r="G149" i="341"/>
  <c r="F149" i="341"/>
  <c r="E149" i="341"/>
  <c r="D149" i="341"/>
  <c r="C149" i="341"/>
  <c r="K141" i="341"/>
  <c r="K139" i="341" s="1"/>
  <c r="J141" i="341"/>
  <c r="J139" i="341" s="1"/>
  <c r="I141" i="341"/>
  <c r="I139" i="341" s="1"/>
  <c r="H141" i="341"/>
  <c r="H139" i="341" s="1"/>
  <c r="G141" i="341"/>
  <c r="G139" i="341"/>
  <c r="F141" i="341"/>
  <c r="F139" i="341" s="1"/>
  <c r="E141" i="341"/>
  <c r="E139" i="341" s="1"/>
  <c r="D141" i="341"/>
  <c r="D139" i="341" s="1"/>
  <c r="C141" i="341"/>
  <c r="C139" i="341" s="1"/>
  <c r="K136" i="341"/>
  <c r="J136" i="341"/>
  <c r="I136" i="341"/>
  <c r="H136" i="341"/>
  <c r="G136" i="341"/>
  <c r="F136" i="341"/>
  <c r="E136" i="341"/>
  <c r="D136" i="341"/>
  <c r="C136" i="341"/>
  <c r="K131" i="341"/>
  <c r="J131" i="341"/>
  <c r="I131" i="341"/>
  <c r="H131" i="341"/>
  <c r="G131" i="341"/>
  <c r="F131" i="341"/>
  <c r="E131" i="341"/>
  <c r="D131" i="341"/>
  <c r="C131" i="341"/>
  <c r="K119" i="341"/>
  <c r="J119" i="341"/>
  <c r="I119" i="341"/>
  <c r="H119" i="341"/>
  <c r="H118" i="341" s="1"/>
  <c r="G119" i="341"/>
  <c r="F119" i="341"/>
  <c r="E119" i="341"/>
  <c r="D119" i="341"/>
  <c r="D118" i="341" s="1"/>
  <c r="C119" i="341"/>
  <c r="K114" i="341"/>
  <c r="J114" i="341"/>
  <c r="I114" i="341"/>
  <c r="H114" i="341"/>
  <c r="G114" i="341"/>
  <c r="F114" i="341"/>
  <c r="E114" i="341"/>
  <c r="E110" i="341" s="1"/>
  <c r="D114" i="341"/>
  <c r="C114" i="341"/>
  <c r="C110" i="341" s="1"/>
  <c r="K111" i="341"/>
  <c r="J111" i="341"/>
  <c r="I111" i="341"/>
  <c r="H111" i="341"/>
  <c r="G111" i="341"/>
  <c r="F111" i="341"/>
  <c r="F110" i="341" s="1"/>
  <c r="E111" i="341"/>
  <c r="D111" i="341"/>
  <c r="C111" i="341"/>
  <c r="K103" i="341"/>
  <c r="J103" i="341"/>
  <c r="I103" i="341"/>
  <c r="H103" i="341"/>
  <c r="G103" i="341"/>
  <c r="F103" i="341"/>
  <c r="E103" i="341"/>
  <c r="D103" i="341"/>
  <c r="C103" i="341"/>
  <c r="K98" i="341"/>
  <c r="J98" i="341"/>
  <c r="J74" i="341" s="1"/>
  <c r="I98" i="341"/>
  <c r="H98" i="341"/>
  <c r="G98" i="341"/>
  <c r="F98" i="341"/>
  <c r="F74" i="341" s="1"/>
  <c r="E98" i="341"/>
  <c r="D98" i="341"/>
  <c r="D74" i="341" s="1"/>
  <c r="C98" i="341"/>
  <c r="K75" i="341"/>
  <c r="J75" i="341"/>
  <c r="I75" i="341"/>
  <c r="I74" i="341" s="1"/>
  <c r="H75" i="341"/>
  <c r="G75" i="341"/>
  <c r="G74" i="341" s="1"/>
  <c r="F75" i="341"/>
  <c r="E75" i="341"/>
  <c r="D75" i="341"/>
  <c r="C75" i="341"/>
  <c r="C74" i="341" s="1"/>
  <c r="K68" i="341"/>
  <c r="J68" i="341"/>
  <c r="I68" i="341"/>
  <c r="H68" i="341"/>
  <c r="G68" i="341"/>
  <c r="F68" i="341"/>
  <c r="E68" i="341"/>
  <c r="D68" i="341"/>
  <c r="C68" i="341"/>
  <c r="K62" i="341"/>
  <c r="J62" i="341"/>
  <c r="I62" i="341"/>
  <c r="H62" i="341"/>
  <c r="G62" i="341"/>
  <c r="F62" i="341"/>
  <c r="E62" i="341"/>
  <c r="D62" i="341"/>
  <c r="C62" i="341"/>
  <c r="K52" i="341"/>
  <c r="J52" i="341"/>
  <c r="I52" i="341"/>
  <c r="H52" i="341"/>
  <c r="G52" i="341"/>
  <c r="F52" i="341"/>
  <c r="E52" i="341"/>
  <c r="D52" i="341"/>
  <c r="C52" i="341"/>
  <c r="K44" i="341"/>
  <c r="J44" i="341"/>
  <c r="I44" i="341"/>
  <c r="H44" i="341"/>
  <c r="G44" i="341"/>
  <c r="F44" i="341"/>
  <c r="E44" i="341"/>
  <c r="D44" i="341"/>
  <c r="C44" i="341"/>
  <c r="K37" i="341"/>
  <c r="J37" i="341"/>
  <c r="I37" i="341"/>
  <c r="H37" i="341"/>
  <c r="G37" i="341"/>
  <c r="F37" i="341"/>
  <c r="E37" i="341"/>
  <c r="D37" i="341"/>
  <c r="C37" i="341"/>
  <c r="K26" i="341"/>
  <c r="J26" i="341"/>
  <c r="I26" i="341"/>
  <c r="H26" i="341"/>
  <c r="G26" i="341"/>
  <c r="F26" i="341"/>
  <c r="E26" i="341"/>
  <c r="D26" i="341"/>
  <c r="C26" i="341"/>
  <c r="K16" i="341"/>
  <c r="J16" i="341"/>
  <c r="I16" i="341"/>
  <c r="H16" i="341"/>
  <c r="G16" i="341"/>
  <c r="F16" i="341"/>
  <c r="E16" i="341"/>
  <c r="D16" i="341"/>
  <c r="C16" i="341"/>
  <c r="K12" i="341"/>
  <c r="J12" i="341"/>
  <c r="I12" i="341"/>
  <c r="I6" i="341" s="1"/>
  <c r="H12" i="341"/>
  <c r="G12" i="341"/>
  <c r="F12" i="341"/>
  <c r="E12" i="341"/>
  <c r="D12" i="341"/>
  <c r="C12" i="341"/>
  <c r="K7" i="341"/>
  <c r="J7" i="341"/>
  <c r="I7" i="341"/>
  <c r="H7" i="341"/>
  <c r="G7" i="341"/>
  <c r="F7" i="341"/>
  <c r="E7" i="341"/>
  <c r="D7" i="341"/>
  <c r="C7" i="341"/>
  <c r="K164" i="284"/>
  <c r="J164" i="284"/>
  <c r="I164" i="284"/>
  <c r="H164" i="284"/>
  <c r="G164" i="284"/>
  <c r="F164" i="284"/>
  <c r="E164" i="284"/>
  <c r="D164" i="284"/>
  <c r="C164" i="284"/>
  <c r="K161" i="284"/>
  <c r="J161" i="284"/>
  <c r="I161" i="284"/>
  <c r="H161" i="284"/>
  <c r="G161" i="284"/>
  <c r="F161" i="284"/>
  <c r="E161" i="284"/>
  <c r="D161" i="284"/>
  <c r="C161" i="284"/>
  <c r="K158" i="284"/>
  <c r="J158" i="284"/>
  <c r="I158" i="284"/>
  <c r="H158" i="284"/>
  <c r="G158" i="284"/>
  <c r="F158" i="284"/>
  <c r="E158" i="284"/>
  <c r="D158" i="284"/>
  <c r="C158" i="284"/>
  <c r="K155" i="284"/>
  <c r="J155" i="284"/>
  <c r="I155" i="284"/>
  <c r="H155" i="284"/>
  <c r="G155" i="284"/>
  <c r="F155" i="284"/>
  <c r="E155" i="284"/>
  <c r="D155" i="284"/>
  <c r="C155" i="284"/>
  <c r="K152" i="284"/>
  <c r="J152" i="284"/>
  <c r="I152" i="284"/>
  <c r="H152" i="284"/>
  <c r="G152" i="284"/>
  <c r="F152" i="284"/>
  <c r="E152" i="284"/>
  <c r="D152" i="284"/>
  <c r="C152" i="284"/>
  <c r="K149" i="284"/>
  <c r="J149" i="284"/>
  <c r="I149" i="284"/>
  <c r="H149" i="284"/>
  <c r="G149" i="284"/>
  <c r="F149" i="284"/>
  <c r="E149" i="284"/>
  <c r="D149" i="284"/>
  <c r="K141" i="284"/>
  <c r="K139" i="284" s="1"/>
  <c r="J141" i="284"/>
  <c r="J139" i="284" s="1"/>
  <c r="I141" i="284"/>
  <c r="I139" i="284" s="1"/>
  <c r="H141" i="284"/>
  <c r="H139" i="284" s="1"/>
  <c r="G141" i="284"/>
  <c r="G139" i="284" s="1"/>
  <c r="F141" i="284"/>
  <c r="F139" i="284" s="1"/>
  <c r="E141" i="284"/>
  <c r="E139" i="284" s="1"/>
  <c r="D141" i="284"/>
  <c r="D139" i="284" s="1"/>
  <c r="C141" i="284"/>
  <c r="C139" i="284" s="1"/>
  <c r="K136" i="284"/>
  <c r="J136" i="284"/>
  <c r="I136" i="284"/>
  <c r="H136" i="284"/>
  <c r="G136" i="284"/>
  <c r="F136" i="284"/>
  <c r="E136" i="284"/>
  <c r="D136" i="284"/>
  <c r="C136" i="284"/>
  <c r="K131" i="284"/>
  <c r="J131" i="284"/>
  <c r="I131" i="284"/>
  <c r="H131" i="284"/>
  <c r="G131" i="284"/>
  <c r="F131" i="284"/>
  <c r="E131" i="284"/>
  <c r="D131" i="284"/>
  <c r="C131" i="284"/>
  <c r="K119" i="284"/>
  <c r="K118" i="284" s="1"/>
  <c r="J119" i="284"/>
  <c r="I119" i="284"/>
  <c r="H119" i="284"/>
  <c r="G119" i="284"/>
  <c r="G118" i="284" s="1"/>
  <c r="F119" i="284"/>
  <c r="E119" i="284"/>
  <c r="E118" i="284" s="1"/>
  <c r="D119" i="284"/>
  <c r="C119" i="284"/>
  <c r="C118" i="284" s="1"/>
  <c r="K114" i="284"/>
  <c r="J114" i="284"/>
  <c r="J110" i="284" s="1"/>
  <c r="I114" i="284"/>
  <c r="H114" i="284"/>
  <c r="G114" i="284"/>
  <c r="F114" i="284"/>
  <c r="E114" i="284"/>
  <c r="D114" i="284"/>
  <c r="C114" i="284"/>
  <c r="K111" i="284"/>
  <c r="K110" i="284" s="1"/>
  <c r="J111" i="284"/>
  <c r="I111" i="284"/>
  <c r="I110" i="284" s="1"/>
  <c r="H111" i="284"/>
  <c r="G111" i="284"/>
  <c r="F111" i="284"/>
  <c r="E111" i="284"/>
  <c r="D111" i="284"/>
  <c r="C111" i="284"/>
  <c r="C110" i="284" s="1"/>
  <c r="K103" i="284"/>
  <c r="J103" i="284"/>
  <c r="I103" i="284"/>
  <c r="H103" i="284"/>
  <c r="G103" i="284"/>
  <c r="F103" i="284"/>
  <c r="E103" i="284"/>
  <c r="D103" i="284"/>
  <c r="C103" i="284"/>
  <c r="K98" i="284"/>
  <c r="J98" i="284"/>
  <c r="I98" i="284"/>
  <c r="H98" i="284"/>
  <c r="G98" i="284"/>
  <c r="F98" i="284"/>
  <c r="E98" i="284"/>
  <c r="D98" i="284"/>
  <c r="C98" i="284"/>
  <c r="K75" i="284"/>
  <c r="J75" i="284"/>
  <c r="I75" i="284"/>
  <c r="H75" i="284"/>
  <c r="G75" i="284"/>
  <c r="F75" i="284"/>
  <c r="E75" i="284"/>
  <c r="D75" i="284"/>
  <c r="D74" i="284" s="1"/>
  <c r="C75" i="284"/>
  <c r="K68" i="284"/>
  <c r="J68" i="284"/>
  <c r="I68" i="284"/>
  <c r="H68" i="284"/>
  <c r="G68" i="284"/>
  <c r="F68" i="284"/>
  <c r="E68" i="284"/>
  <c r="D68" i="284"/>
  <c r="C68" i="284"/>
  <c r="K62" i="284"/>
  <c r="J62" i="284"/>
  <c r="I62" i="284"/>
  <c r="H62" i="284"/>
  <c r="G62" i="284"/>
  <c r="F62" i="284"/>
  <c r="E62" i="284"/>
  <c r="D62" i="284"/>
  <c r="C62" i="284"/>
  <c r="K52" i="284"/>
  <c r="J52" i="284"/>
  <c r="I52" i="284"/>
  <c r="H52" i="284"/>
  <c r="G52" i="284"/>
  <c r="F52" i="284"/>
  <c r="E52" i="284"/>
  <c r="D52" i="284"/>
  <c r="C52" i="284"/>
  <c r="K44" i="284"/>
  <c r="J44" i="284"/>
  <c r="I44" i="284"/>
  <c r="H44" i="284"/>
  <c r="G44" i="284"/>
  <c r="F44" i="284"/>
  <c r="E44" i="284"/>
  <c r="D44" i="284"/>
  <c r="C44" i="284"/>
  <c r="K37" i="284"/>
  <c r="J37" i="284"/>
  <c r="I37" i="284"/>
  <c r="H37" i="284"/>
  <c r="G37" i="284"/>
  <c r="F37" i="284"/>
  <c r="E37" i="284"/>
  <c r="D37" i="284"/>
  <c r="C37" i="284"/>
  <c r="K26" i="284"/>
  <c r="J26" i="284"/>
  <c r="I26" i="284"/>
  <c r="H26" i="284"/>
  <c r="G26" i="284"/>
  <c r="F26" i="284"/>
  <c r="E26" i="284"/>
  <c r="D26" i="284"/>
  <c r="C26" i="284"/>
  <c r="K16" i="284"/>
  <c r="J16" i="284"/>
  <c r="I16" i="284"/>
  <c r="H16" i="284"/>
  <c r="G16" i="284"/>
  <c r="F16" i="284"/>
  <c r="E16" i="284"/>
  <c r="D16" i="284"/>
  <c r="C16" i="284"/>
  <c r="K12" i="284"/>
  <c r="J12" i="284"/>
  <c r="I12" i="284"/>
  <c r="H12" i="284"/>
  <c r="G12" i="284"/>
  <c r="F12" i="284"/>
  <c r="E12" i="284"/>
  <c r="D12" i="284"/>
  <c r="C12" i="284"/>
  <c r="K7" i="284"/>
  <c r="J7" i="284"/>
  <c r="I7" i="284"/>
  <c r="H7" i="284"/>
  <c r="G7" i="284"/>
  <c r="F7" i="284"/>
  <c r="E7" i="284"/>
  <c r="E6" i="284" s="1"/>
  <c r="D7" i="284"/>
  <c r="C7" i="284"/>
  <c r="J5" i="279"/>
  <c r="I5" i="279"/>
  <c r="H5" i="279"/>
  <c r="G5" i="279"/>
  <c r="F5" i="279"/>
  <c r="E5" i="279"/>
  <c r="D5" i="279"/>
  <c r="C5" i="279"/>
  <c r="B5" i="279"/>
  <c r="D73" i="198"/>
  <c r="N26" i="204"/>
  <c r="M26" i="204" s="1"/>
  <c r="N27" i="204"/>
  <c r="M27" i="204" s="1"/>
  <c r="N28" i="204"/>
  <c r="M28" i="204" s="1"/>
  <c r="N29" i="204"/>
  <c r="M29" i="204" s="1"/>
  <c r="N30" i="204"/>
  <c r="M30" i="204" s="1"/>
  <c r="N31" i="204"/>
  <c r="M31" i="204" s="1"/>
  <c r="N32" i="204"/>
  <c r="M32" i="204" s="1"/>
  <c r="N33" i="204"/>
  <c r="M33" i="204" s="1"/>
  <c r="N34" i="204"/>
  <c r="M34" i="204" s="1"/>
  <c r="N35" i="204"/>
  <c r="M35" i="204" s="1"/>
  <c r="N25" i="204"/>
  <c r="M25" i="204" s="1"/>
  <c r="P21" i="204"/>
  <c r="O21" i="204"/>
  <c r="P20" i="204"/>
  <c r="O20" i="204"/>
  <c r="P19" i="204"/>
  <c r="O19" i="204"/>
  <c r="P18" i="204"/>
  <c r="O18" i="204"/>
  <c r="P17" i="204"/>
  <c r="O17" i="204"/>
  <c r="P16" i="204"/>
  <c r="O16" i="204"/>
  <c r="P15" i="204"/>
  <c r="O15" i="204"/>
  <c r="P14" i="204"/>
  <c r="O14" i="204"/>
  <c r="P13" i="204"/>
  <c r="O13" i="204"/>
  <c r="P12" i="204"/>
  <c r="O12" i="204"/>
  <c r="P10" i="204"/>
  <c r="O10" i="204"/>
  <c r="P9" i="204"/>
  <c r="O9" i="204"/>
  <c r="P8" i="204"/>
  <c r="O8" i="204"/>
  <c r="P7" i="204"/>
  <c r="O7" i="204"/>
  <c r="P6" i="204"/>
  <c r="O6" i="204"/>
  <c r="N7" i="204"/>
  <c r="M7" i="204" s="1"/>
  <c r="N8" i="204"/>
  <c r="M8" i="204" s="1"/>
  <c r="N9" i="204"/>
  <c r="M9" i="204" s="1"/>
  <c r="N10" i="204"/>
  <c r="M10" i="204" s="1"/>
  <c r="N12" i="204"/>
  <c r="M12" i="204" s="1"/>
  <c r="N13" i="204"/>
  <c r="M13" i="204" s="1"/>
  <c r="N14" i="204"/>
  <c r="M14" i="204" s="1"/>
  <c r="N15" i="204"/>
  <c r="M15" i="204" s="1"/>
  <c r="N16" i="204"/>
  <c r="M16" i="204" s="1"/>
  <c r="N17" i="204"/>
  <c r="M17" i="204" s="1"/>
  <c r="N18" i="204"/>
  <c r="M18" i="204" s="1"/>
  <c r="N19" i="204"/>
  <c r="M19" i="204" s="1"/>
  <c r="N20" i="204"/>
  <c r="M20" i="204" s="1"/>
  <c r="N21" i="204"/>
  <c r="M21" i="204" s="1"/>
  <c r="N6" i="204"/>
  <c r="C30" i="279"/>
  <c r="L54" i="198"/>
  <c r="H3" i="342"/>
  <c r="G3" i="342"/>
  <c r="F3" i="342"/>
  <c r="E3" i="342"/>
  <c r="D3" i="342"/>
  <c r="C3" i="342"/>
  <c r="I2" i="342"/>
  <c r="B2" i="342"/>
  <c r="A2" i="342"/>
  <c r="A168" i="341"/>
  <c r="H3" i="341"/>
  <c r="G3" i="341"/>
  <c r="F3" i="341"/>
  <c r="E3" i="341"/>
  <c r="D3" i="341"/>
  <c r="C3" i="341"/>
  <c r="I2" i="341"/>
  <c r="B2" i="341"/>
  <c r="A2" i="341"/>
  <c r="H3" i="284"/>
  <c r="G3" i="284"/>
  <c r="F3" i="284"/>
  <c r="E3" i="284"/>
  <c r="D3" i="284"/>
  <c r="C3" i="284"/>
  <c r="B2" i="282"/>
  <c r="F24" i="282"/>
  <c r="A25" i="282"/>
  <c r="I3" i="330"/>
  <c r="A2" i="284"/>
  <c r="B2" i="284"/>
  <c r="I2" i="284"/>
  <c r="A168" i="284"/>
  <c r="A2" i="204"/>
  <c r="N2" i="204"/>
  <c r="O25" i="204"/>
  <c r="P25" i="204"/>
  <c r="O26" i="204"/>
  <c r="P26" i="204"/>
  <c r="O27" i="204"/>
  <c r="P27" i="204"/>
  <c r="O28" i="204"/>
  <c r="P28" i="204"/>
  <c r="O29" i="204"/>
  <c r="P29" i="204"/>
  <c r="O30" i="204"/>
  <c r="P30" i="204"/>
  <c r="O31" i="204"/>
  <c r="P31" i="204"/>
  <c r="O32" i="204"/>
  <c r="P32" i="204"/>
  <c r="O33" i="204"/>
  <c r="P33" i="204"/>
  <c r="O34" i="204"/>
  <c r="P34" i="204"/>
  <c r="O35" i="204"/>
  <c r="P35" i="204"/>
  <c r="B36" i="204"/>
  <c r="C36" i="204"/>
  <c r="D36" i="204"/>
  <c r="E36" i="204"/>
  <c r="F36" i="204"/>
  <c r="G36" i="204"/>
  <c r="H36" i="204"/>
  <c r="I36" i="204"/>
  <c r="J36" i="204"/>
  <c r="K36" i="204"/>
  <c r="L36" i="204"/>
  <c r="B2" i="336"/>
  <c r="C10" i="336"/>
  <c r="D10" i="336"/>
  <c r="E10" i="336"/>
  <c r="F10" i="336"/>
  <c r="G10" i="336"/>
  <c r="H10" i="336"/>
  <c r="I10" i="336"/>
  <c r="J10" i="336"/>
  <c r="K10" i="336"/>
  <c r="C20" i="336"/>
  <c r="D20" i="336"/>
  <c r="E20" i="336"/>
  <c r="F20" i="336"/>
  <c r="G20" i="336"/>
  <c r="H20" i="336"/>
  <c r="I20" i="336"/>
  <c r="J20" i="336"/>
  <c r="K20" i="336"/>
  <c r="C36" i="336"/>
  <c r="D36" i="336"/>
  <c r="E36" i="336"/>
  <c r="F36" i="336"/>
  <c r="G36" i="336"/>
  <c r="H36" i="336"/>
  <c r="I36" i="336"/>
  <c r="J36" i="336"/>
  <c r="K36" i="336"/>
  <c r="A43" i="336"/>
  <c r="B2" i="285"/>
  <c r="I2" i="285"/>
  <c r="C3" i="285"/>
  <c r="D3" i="285"/>
  <c r="E3" i="285"/>
  <c r="F3" i="285"/>
  <c r="G3" i="285"/>
  <c r="H3" i="285"/>
  <c r="C21" i="285"/>
  <c r="D21" i="285"/>
  <c r="E21" i="285"/>
  <c r="F21" i="285"/>
  <c r="G21" i="285"/>
  <c r="H21" i="285"/>
  <c r="I21" i="285"/>
  <c r="J21" i="285"/>
  <c r="K21" i="285"/>
  <c r="K22" i="285" s="1"/>
  <c r="C37" i="285"/>
  <c r="D37" i="285"/>
  <c r="E38" i="285" s="1"/>
  <c r="E37" i="285"/>
  <c r="F37" i="285"/>
  <c r="F38" i="285" s="1"/>
  <c r="G37" i="285"/>
  <c r="H37" i="285"/>
  <c r="I37" i="285"/>
  <c r="J37" i="285"/>
  <c r="K38" i="285" s="1"/>
  <c r="K37" i="285"/>
  <c r="G38" i="285"/>
  <c r="H38" i="285"/>
  <c r="C53" i="285"/>
  <c r="D54" i="285" s="1"/>
  <c r="D53" i="285"/>
  <c r="E53" i="285"/>
  <c r="F53" i="285"/>
  <c r="G53" i="285"/>
  <c r="H53" i="285"/>
  <c r="I53" i="285"/>
  <c r="J53" i="285"/>
  <c r="K53" i="285"/>
  <c r="A58" i="285"/>
  <c r="F23" i="243"/>
  <c r="G23" i="243"/>
  <c r="H23" i="243"/>
  <c r="C2" i="198"/>
  <c r="J2" i="198"/>
  <c r="D3" i="198"/>
  <c r="E3" i="198"/>
  <c r="F3" i="198"/>
  <c r="G3" i="198"/>
  <c r="H3" i="198"/>
  <c r="I3" i="198"/>
  <c r="A46" i="198"/>
  <c r="D46" i="198"/>
  <c r="E46" i="198"/>
  <c r="F46" i="198"/>
  <c r="G46" i="198"/>
  <c r="H46" i="198"/>
  <c r="I46" i="198"/>
  <c r="J46" i="198"/>
  <c r="K46" i="198"/>
  <c r="L46" i="198"/>
  <c r="A47" i="198"/>
  <c r="A48" i="198"/>
  <c r="D48" i="198"/>
  <c r="E48" i="198"/>
  <c r="F48" i="198"/>
  <c r="G48" i="198"/>
  <c r="H48" i="198"/>
  <c r="I48" i="198"/>
  <c r="J48" i="198"/>
  <c r="K48" i="198"/>
  <c r="L48" i="198"/>
  <c r="A49" i="198"/>
  <c r="D49" i="198"/>
  <c r="E49" i="198"/>
  <c r="F49" i="198"/>
  <c r="G49" i="198"/>
  <c r="H49" i="198"/>
  <c r="I49" i="198"/>
  <c r="J49" i="198"/>
  <c r="K49" i="198"/>
  <c r="L49" i="198"/>
  <c r="A50" i="198"/>
  <c r="A51" i="198"/>
  <c r="D51" i="198"/>
  <c r="E51" i="198"/>
  <c r="F51" i="198"/>
  <c r="G51" i="198"/>
  <c r="H51" i="198"/>
  <c r="I51" i="198"/>
  <c r="J51" i="198"/>
  <c r="K51" i="198"/>
  <c r="L51" i="198"/>
  <c r="D55" i="198"/>
  <c r="E55" i="198"/>
  <c r="F55" i="198"/>
  <c r="G55" i="198"/>
  <c r="H55" i="198"/>
  <c r="I55" i="198"/>
  <c r="J55" i="198"/>
  <c r="K55" i="198"/>
  <c r="L55" i="198"/>
  <c r="A56" i="198"/>
  <c r="A57" i="198"/>
  <c r="D57" i="198"/>
  <c r="E57" i="198"/>
  <c r="F57" i="198"/>
  <c r="G57" i="198"/>
  <c r="H57" i="198"/>
  <c r="I57" i="198"/>
  <c r="J57" i="198"/>
  <c r="K57" i="198"/>
  <c r="L57" i="198"/>
  <c r="A58" i="198"/>
  <c r="A59" i="198"/>
  <c r="D61" i="198"/>
  <c r="E61" i="198"/>
  <c r="F61" i="198"/>
  <c r="G61" i="198"/>
  <c r="H61" i="198"/>
  <c r="I61" i="198"/>
  <c r="J61" i="198"/>
  <c r="K61" i="198"/>
  <c r="L61" i="198"/>
  <c r="E62" i="198"/>
  <c r="F62" i="198"/>
  <c r="G62" i="198"/>
  <c r="H62" i="198"/>
  <c r="I62" i="198"/>
  <c r="J62" i="198"/>
  <c r="K62" i="198"/>
  <c r="L62" i="198"/>
  <c r="E63" i="198"/>
  <c r="F63" i="198"/>
  <c r="G63" i="198"/>
  <c r="H63" i="198"/>
  <c r="H16" i="198" s="1"/>
  <c r="I63" i="198"/>
  <c r="J63" i="198"/>
  <c r="K63" i="198"/>
  <c r="L63" i="198"/>
  <c r="D64" i="198"/>
  <c r="E64" i="198"/>
  <c r="F64" i="198"/>
  <c r="G64" i="198"/>
  <c r="H64" i="198"/>
  <c r="I64" i="198"/>
  <c r="J64" i="198"/>
  <c r="K64" i="198"/>
  <c r="L64" i="198"/>
  <c r="A65" i="198"/>
  <c r="A66" i="198"/>
  <c r="D66" i="198"/>
  <c r="E66" i="198"/>
  <c r="F66" i="198"/>
  <c r="G66" i="198"/>
  <c r="H66" i="198"/>
  <c r="I66" i="198"/>
  <c r="J66" i="198"/>
  <c r="K66" i="198"/>
  <c r="L66" i="198"/>
  <c r="D67" i="198"/>
  <c r="E67" i="198"/>
  <c r="F67" i="198"/>
  <c r="G67" i="198"/>
  <c r="H67" i="198"/>
  <c r="I67" i="198"/>
  <c r="J67" i="198"/>
  <c r="K67" i="198"/>
  <c r="L67" i="198"/>
  <c r="D69" i="198"/>
  <c r="E69" i="198"/>
  <c r="F69" i="198"/>
  <c r="G69" i="198"/>
  <c r="H69" i="198"/>
  <c r="I69" i="198"/>
  <c r="J69" i="198"/>
  <c r="K69" i="198"/>
  <c r="L69" i="198"/>
  <c r="D70" i="198"/>
  <c r="E70" i="198"/>
  <c r="F70" i="198"/>
  <c r="G70" i="198"/>
  <c r="H70" i="198"/>
  <c r="I70" i="198"/>
  <c r="J70" i="198"/>
  <c r="K70" i="198"/>
  <c r="L70" i="198"/>
  <c r="D71" i="198"/>
  <c r="E71" i="198"/>
  <c r="F71" i="198"/>
  <c r="G71" i="198"/>
  <c r="H71" i="198"/>
  <c r="I71" i="198"/>
  <c r="J71" i="198"/>
  <c r="K71" i="198"/>
  <c r="L71" i="198"/>
  <c r="D72" i="198"/>
  <c r="E72" i="198"/>
  <c r="F72" i="198"/>
  <c r="G72" i="198"/>
  <c r="H72" i="198"/>
  <c r="I72" i="198"/>
  <c r="J72" i="198"/>
  <c r="K72" i="198"/>
  <c r="L72" i="198"/>
  <c r="E74" i="198"/>
  <c r="E73" i="198" s="1"/>
  <c r="E40" i="198" s="1"/>
  <c r="I2" i="199"/>
  <c r="C3" i="199"/>
  <c r="D3" i="199"/>
  <c r="E3" i="199"/>
  <c r="F3" i="199"/>
  <c r="G3" i="199"/>
  <c r="H3" i="199"/>
  <c r="A2" i="200"/>
  <c r="B2" i="200"/>
  <c r="I2" i="200"/>
  <c r="C3" i="200"/>
  <c r="D3" i="200"/>
  <c r="E3" i="200"/>
  <c r="F3" i="200"/>
  <c r="G3" i="200"/>
  <c r="H3" i="200"/>
  <c r="C18" i="200"/>
  <c r="B42" i="279" s="1"/>
  <c r="D18" i="200"/>
  <c r="C42" i="279" s="1"/>
  <c r="E18" i="200"/>
  <c r="F18" i="200"/>
  <c r="E42" i="279" s="1"/>
  <c r="G18" i="200"/>
  <c r="F42" i="279" s="1"/>
  <c r="H18" i="200"/>
  <c r="G42" i="279" s="1"/>
  <c r="I18" i="200"/>
  <c r="N217" i="204" s="1"/>
  <c r="M217" i="204" s="1"/>
  <c r="J18" i="200"/>
  <c r="O217" i="204" s="1"/>
  <c r="K18" i="200"/>
  <c r="P217" i="204" s="1"/>
  <c r="C28" i="200"/>
  <c r="B43" i="279" s="1"/>
  <c r="D28" i="200"/>
  <c r="C43" i="279" s="1"/>
  <c r="E28" i="200"/>
  <c r="D43" i="279" s="1"/>
  <c r="F28" i="200"/>
  <c r="G28" i="200"/>
  <c r="F43" i="279" s="1"/>
  <c r="H28" i="200"/>
  <c r="G43" i="279" s="1"/>
  <c r="I28" i="200"/>
  <c r="J28" i="200"/>
  <c r="O227" i="204" s="1"/>
  <c r="K28" i="200"/>
  <c r="C37" i="200"/>
  <c r="B44" i="279" s="1"/>
  <c r="D37" i="200"/>
  <c r="E37" i="200"/>
  <c r="D44" i="279" s="1"/>
  <c r="F37" i="200"/>
  <c r="E44" i="279" s="1"/>
  <c r="G37" i="200"/>
  <c r="F44" i="279" s="1"/>
  <c r="H37" i="200"/>
  <c r="G44" i="279" s="1"/>
  <c r="I37" i="200"/>
  <c r="J37" i="200"/>
  <c r="K37" i="200"/>
  <c r="A2" i="201"/>
  <c r="B2" i="201"/>
  <c r="I2" i="201"/>
  <c r="C3" i="201"/>
  <c r="D3" i="201"/>
  <c r="E3" i="201"/>
  <c r="F3" i="201"/>
  <c r="G3" i="201"/>
  <c r="H3" i="201"/>
  <c r="C12" i="201"/>
  <c r="D58" i="198" s="1"/>
  <c r="D12" i="201"/>
  <c r="E58" i="198" s="1"/>
  <c r="E12" i="201"/>
  <c r="F58" i="198" s="1"/>
  <c r="F12" i="201"/>
  <c r="E35" i="279" s="1"/>
  <c r="G12" i="201"/>
  <c r="H58" i="198" s="1"/>
  <c r="H12" i="201"/>
  <c r="I12" i="201"/>
  <c r="J58" i="198" s="1"/>
  <c r="J12" i="201"/>
  <c r="K58" i="198" s="1"/>
  <c r="K12" i="201"/>
  <c r="L58" i="198" s="1"/>
  <c r="B36" i="279"/>
  <c r="C36" i="279"/>
  <c r="D36" i="279"/>
  <c r="F36" i="279"/>
  <c r="G36" i="279"/>
  <c r="C34" i="201"/>
  <c r="B37" i="279" s="1"/>
  <c r="D34" i="201"/>
  <c r="E59" i="198" s="1"/>
  <c r="E34" i="201"/>
  <c r="D37" i="279"/>
  <c r="F34" i="201"/>
  <c r="G59" i="198" s="1"/>
  <c r="G34" i="201"/>
  <c r="H34" i="201"/>
  <c r="I59" i="198"/>
  <c r="I34" i="201"/>
  <c r="J34" i="201"/>
  <c r="K59" i="198" s="1"/>
  <c r="K34" i="201"/>
  <c r="L59" i="198" s="1"/>
  <c r="C39" i="201"/>
  <c r="B38" i="279" s="1"/>
  <c r="D39" i="201"/>
  <c r="E39" i="201"/>
  <c r="D38" i="279" s="1"/>
  <c r="F39" i="201"/>
  <c r="E38" i="279" s="1"/>
  <c r="G39" i="201"/>
  <c r="H39" i="201"/>
  <c r="G38" i="279" s="1"/>
  <c r="I39" i="201"/>
  <c r="J39" i="201"/>
  <c r="I38" i="279" s="1"/>
  <c r="K39" i="201"/>
  <c r="H40" i="201"/>
  <c r="B39" i="279"/>
  <c r="D39" i="279"/>
  <c r="H56" i="198"/>
  <c r="J56" i="198"/>
  <c r="J39" i="279"/>
  <c r="A2" i="202"/>
  <c r="B2" i="202"/>
  <c r="I2" i="202"/>
  <c r="C3" i="202"/>
  <c r="D3" i="202"/>
  <c r="E3" i="202"/>
  <c r="F3" i="202"/>
  <c r="G3" i="202"/>
  <c r="H3" i="202"/>
  <c r="A2" i="65"/>
  <c r="B2" i="65"/>
  <c r="I2" i="65"/>
  <c r="C3" i="65"/>
  <c r="D3" i="65"/>
  <c r="E3" i="65"/>
  <c r="F3" i="65"/>
  <c r="G3" i="65"/>
  <c r="H3" i="65"/>
  <c r="I65" i="198"/>
  <c r="I68" i="198" s="1"/>
  <c r="L65" i="198"/>
  <c r="L68" i="198" s="1"/>
  <c r="L38" i="198" s="1"/>
  <c r="L21" i="65"/>
  <c r="M21" i="65"/>
  <c r="N21" i="65"/>
  <c r="O21" i="65"/>
  <c r="P21" i="65"/>
  <c r="Q21" i="65"/>
  <c r="R21" i="65"/>
  <c r="S21" i="65"/>
  <c r="T21" i="65"/>
  <c r="U21" i="65"/>
  <c r="V21" i="65"/>
  <c r="W21" i="65"/>
  <c r="C35" i="65"/>
  <c r="D50" i="198" s="1"/>
  <c r="D35" i="65"/>
  <c r="E50" i="198" s="1"/>
  <c r="E35" i="65"/>
  <c r="F50" i="198" s="1"/>
  <c r="F35" i="65"/>
  <c r="G50" i="198" s="1"/>
  <c r="G35" i="65"/>
  <c r="H50" i="198" s="1"/>
  <c r="H35" i="65"/>
  <c r="I50" i="198" s="1"/>
  <c r="I35" i="65"/>
  <c r="J50" i="198" s="1"/>
  <c r="J35" i="65"/>
  <c r="K50" i="198" s="1"/>
  <c r="K35" i="65"/>
  <c r="L50" i="198" s="1"/>
  <c r="A2" i="279"/>
  <c r="H2" i="279"/>
  <c r="B3" i="279"/>
  <c r="C3" i="279"/>
  <c r="D3" i="279"/>
  <c r="E3" i="279"/>
  <c r="F3" i="279"/>
  <c r="G3" i="279"/>
  <c r="B7" i="279"/>
  <c r="C7" i="279"/>
  <c r="D7" i="279"/>
  <c r="E7" i="279"/>
  <c r="F7" i="279"/>
  <c r="G7" i="279"/>
  <c r="H7" i="279"/>
  <c r="I7" i="279"/>
  <c r="J7" i="279"/>
  <c r="B8" i="279"/>
  <c r="C8" i="279"/>
  <c r="D8" i="279"/>
  <c r="E8" i="279"/>
  <c r="F8" i="279"/>
  <c r="G8" i="279"/>
  <c r="H8" i="279"/>
  <c r="I8" i="279"/>
  <c r="J8" i="279"/>
  <c r="B9" i="279"/>
  <c r="C9" i="279"/>
  <c r="D9" i="279"/>
  <c r="E9" i="279"/>
  <c r="F9" i="279"/>
  <c r="G9" i="279"/>
  <c r="H9" i="279"/>
  <c r="I9" i="279"/>
  <c r="J9" i="279"/>
  <c r="B11" i="279"/>
  <c r="C11" i="279"/>
  <c r="D11" i="279"/>
  <c r="E11" i="279"/>
  <c r="F11" i="279"/>
  <c r="G11" i="279"/>
  <c r="H11" i="279"/>
  <c r="I11" i="279"/>
  <c r="J11" i="279"/>
  <c r="B12" i="279"/>
  <c r="C12" i="279"/>
  <c r="D12" i="279"/>
  <c r="E12" i="279"/>
  <c r="F12" i="279"/>
  <c r="G12" i="279"/>
  <c r="H12" i="279"/>
  <c r="I12" i="279"/>
  <c r="J12" i="279"/>
  <c r="B14" i="279"/>
  <c r="C14" i="279"/>
  <c r="D14" i="279"/>
  <c r="E14" i="279"/>
  <c r="F14" i="279"/>
  <c r="G14" i="279"/>
  <c r="H14" i="279"/>
  <c r="I14" i="279"/>
  <c r="J14" i="279"/>
  <c r="B15" i="279"/>
  <c r="C15" i="279"/>
  <c r="D15" i="279"/>
  <c r="E15" i="279"/>
  <c r="F15" i="279"/>
  <c r="G15" i="279"/>
  <c r="H15" i="279"/>
  <c r="I15" i="279"/>
  <c r="J15" i="279"/>
  <c r="B16" i="279"/>
  <c r="C16" i="279"/>
  <c r="D16" i="279"/>
  <c r="E16" i="279"/>
  <c r="F16" i="279"/>
  <c r="G16" i="279"/>
  <c r="H16" i="279"/>
  <c r="I16" i="279"/>
  <c r="J16" i="279"/>
  <c r="B20" i="279"/>
  <c r="C20" i="279"/>
  <c r="D20" i="279"/>
  <c r="E20" i="279"/>
  <c r="F20" i="279"/>
  <c r="G20" i="279"/>
  <c r="H20" i="279"/>
  <c r="I20" i="279"/>
  <c r="J20" i="279"/>
  <c r="B21" i="279"/>
  <c r="C21" i="279"/>
  <c r="D21" i="279"/>
  <c r="E21" i="279"/>
  <c r="F21" i="279"/>
  <c r="G21" i="279"/>
  <c r="H21" i="279"/>
  <c r="I21" i="279"/>
  <c r="J21" i="279"/>
  <c r="B23" i="279"/>
  <c r="C23" i="279"/>
  <c r="D23" i="279"/>
  <c r="E23" i="279"/>
  <c r="F23" i="279"/>
  <c r="G23" i="279"/>
  <c r="H23" i="279"/>
  <c r="I23" i="279"/>
  <c r="J23" i="279"/>
  <c r="B35" i="279"/>
  <c r="D35" i="279"/>
  <c r="E36" i="279"/>
  <c r="J36" i="279"/>
  <c r="G37" i="279"/>
  <c r="J37" i="279"/>
  <c r="F38" i="279"/>
  <c r="H38" i="279"/>
  <c r="H39" i="279"/>
  <c r="E43" i="279"/>
  <c r="C44" i="279"/>
  <c r="A2" i="333"/>
  <c r="E2" i="333"/>
  <c r="F2" i="333"/>
  <c r="G2" i="333"/>
  <c r="H2" i="333"/>
  <c r="I2" i="333"/>
  <c r="J2" i="333"/>
  <c r="K2" i="333"/>
  <c r="L2" i="333"/>
  <c r="M2" i="333"/>
  <c r="N2" i="333"/>
  <c r="O2" i="333"/>
  <c r="A3" i="333"/>
  <c r="E3" i="333"/>
  <c r="F3" i="333"/>
  <c r="G3" i="333"/>
  <c r="H3" i="333"/>
  <c r="I3" i="333"/>
  <c r="J3" i="333"/>
  <c r="K3" i="333"/>
  <c r="L3" i="333"/>
  <c r="M3" i="333"/>
  <c r="N3" i="333"/>
  <c r="O3" i="333"/>
  <c r="A4" i="333"/>
  <c r="E4" i="333"/>
  <c r="F4" i="333"/>
  <c r="G4" i="333"/>
  <c r="H4" i="333"/>
  <c r="I4" i="333"/>
  <c r="J4" i="333"/>
  <c r="K4" i="333"/>
  <c r="L4" i="333"/>
  <c r="M4" i="333"/>
  <c r="N4" i="333"/>
  <c r="O4" i="333"/>
  <c r="A5" i="333"/>
  <c r="E5" i="333"/>
  <c r="F5" i="333"/>
  <c r="G5" i="333"/>
  <c r="H5" i="333"/>
  <c r="I5" i="333"/>
  <c r="J5" i="333"/>
  <c r="K5" i="333"/>
  <c r="L5" i="333"/>
  <c r="M5" i="333"/>
  <c r="N5" i="333"/>
  <c r="O5" i="333"/>
  <c r="A6" i="333"/>
  <c r="E6" i="333"/>
  <c r="F6" i="333"/>
  <c r="G6" i="333"/>
  <c r="H6" i="333"/>
  <c r="I6" i="333"/>
  <c r="J6" i="333"/>
  <c r="K6" i="333"/>
  <c r="L6" i="333"/>
  <c r="M6" i="333"/>
  <c r="N6" i="333"/>
  <c r="O6" i="333"/>
  <c r="A7" i="333"/>
  <c r="E7" i="333"/>
  <c r="F7" i="333"/>
  <c r="G7" i="333"/>
  <c r="H7" i="333"/>
  <c r="I7" i="333"/>
  <c r="J7" i="333"/>
  <c r="K7" i="333"/>
  <c r="L7" i="333"/>
  <c r="M7" i="333"/>
  <c r="N7" i="333"/>
  <c r="O7" i="333"/>
  <c r="A8" i="333"/>
  <c r="E8" i="333"/>
  <c r="F8" i="333"/>
  <c r="G8" i="333"/>
  <c r="H8" i="333"/>
  <c r="I8" i="333"/>
  <c r="J8" i="333"/>
  <c r="K8" i="333"/>
  <c r="L8" i="333"/>
  <c r="M8" i="333"/>
  <c r="N8" i="333"/>
  <c r="O8" i="333"/>
  <c r="A9" i="333"/>
  <c r="E9" i="333"/>
  <c r="F9" i="333"/>
  <c r="G9" i="333"/>
  <c r="H9" i="333"/>
  <c r="I9" i="333"/>
  <c r="J9" i="333"/>
  <c r="K9" i="333"/>
  <c r="L9" i="333"/>
  <c r="M9" i="333"/>
  <c r="N9" i="333"/>
  <c r="O9" i="333"/>
  <c r="A10" i="333"/>
  <c r="E10" i="333"/>
  <c r="F10" i="333"/>
  <c r="G10" i="333"/>
  <c r="H10" i="333"/>
  <c r="I10" i="333"/>
  <c r="J10" i="333"/>
  <c r="K10" i="333"/>
  <c r="L10" i="333"/>
  <c r="M10" i="333"/>
  <c r="N10" i="333"/>
  <c r="O10" i="333"/>
  <c r="A11" i="333"/>
  <c r="E11" i="333"/>
  <c r="F11" i="333"/>
  <c r="G11" i="333"/>
  <c r="H11" i="333"/>
  <c r="I11" i="333"/>
  <c r="J11" i="333"/>
  <c r="K11" i="333"/>
  <c r="L11" i="333"/>
  <c r="M11" i="333"/>
  <c r="N11" i="333"/>
  <c r="O11" i="333"/>
  <c r="A12" i="333"/>
  <c r="E12" i="333"/>
  <c r="F12" i="333"/>
  <c r="G12" i="333"/>
  <c r="H12" i="333"/>
  <c r="I12" i="333"/>
  <c r="J12" i="333"/>
  <c r="K12" i="333"/>
  <c r="L12" i="333"/>
  <c r="M12" i="333"/>
  <c r="N12" i="333"/>
  <c r="O12" i="333"/>
  <c r="A13" i="333"/>
  <c r="E13" i="333"/>
  <c r="F13" i="333"/>
  <c r="G13" i="333"/>
  <c r="H13" i="333"/>
  <c r="I13" i="333"/>
  <c r="J13" i="333"/>
  <c r="K13" i="333"/>
  <c r="L13" i="333"/>
  <c r="M13" i="333"/>
  <c r="N13" i="333"/>
  <c r="O13" i="333"/>
  <c r="A14" i="333"/>
  <c r="E14" i="333"/>
  <c r="F14" i="333"/>
  <c r="G14" i="333"/>
  <c r="H14" i="333"/>
  <c r="I14" i="333"/>
  <c r="J14" i="333"/>
  <c r="K14" i="333"/>
  <c r="L14" i="333"/>
  <c r="M14" i="333"/>
  <c r="N14" i="333"/>
  <c r="O14" i="333"/>
  <c r="A15" i="333"/>
  <c r="E15" i="333"/>
  <c r="F15" i="333"/>
  <c r="G15" i="333"/>
  <c r="H15" i="333"/>
  <c r="I15" i="333"/>
  <c r="J15" i="333"/>
  <c r="K15" i="333"/>
  <c r="L15" i="333"/>
  <c r="M15" i="333"/>
  <c r="N15" i="333"/>
  <c r="O15" i="333"/>
  <c r="A16" i="333"/>
  <c r="E16" i="333"/>
  <c r="F16" i="333"/>
  <c r="G16" i="333"/>
  <c r="H16" i="333"/>
  <c r="I16" i="333"/>
  <c r="J16" i="333"/>
  <c r="K16" i="333"/>
  <c r="L16" i="333"/>
  <c r="M16" i="333"/>
  <c r="N16" i="333"/>
  <c r="O16" i="333"/>
  <c r="A17" i="333"/>
  <c r="E17" i="333"/>
  <c r="F17" i="333"/>
  <c r="G17" i="333"/>
  <c r="H17" i="333"/>
  <c r="I17" i="333"/>
  <c r="J17" i="333"/>
  <c r="K17" i="333"/>
  <c r="L17" i="333"/>
  <c r="M17" i="333"/>
  <c r="N17" i="333"/>
  <c r="O17" i="333"/>
  <c r="A18" i="333"/>
  <c r="E18" i="333"/>
  <c r="F18" i="333"/>
  <c r="G18" i="333"/>
  <c r="H18" i="333"/>
  <c r="I18" i="333"/>
  <c r="J18" i="333"/>
  <c r="K18" i="333"/>
  <c r="L18" i="333"/>
  <c r="M18" i="333"/>
  <c r="N18" i="333"/>
  <c r="O18" i="333"/>
  <c r="A19" i="333"/>
  <c r="E19" i="333"/>
  <c r="F19" i="333"/>
  <c r="G19" i="333"/>
  <c r="H19" i="333"/>
  <c r="I19" i="333"/>
  <c r="J19" i="333"/>
  <c r="K19" i="333"/>
  <c r="L19" i="333"/>
  <c r="M19" i="333"/>
  <c r="N19" i="333"/>
  <c r="O19" i="333"/>
  <c r="A20" i="333"/>
  <c r="E20" i="333"/>
  <c r="F20" i="333"/>
  <c r="G20" i="333"/>
  <c r="H20" i="333"/>
  <c r="I20" i="333"/>
  <c r="J20" i="333"/>
  <c r="K20" i="333"/>
  <c r="L20" i="333"/>
  <c r="M20" i="333"/>
  <c r="N20" i="333"/>
  <c r="O20" i="333"/>
  <c r="A21" i="333"/>
  <c r="E21" i="333"/>
  <c r="F21" i="333"/>
  <c r="G21" i="333"/>
  <c r="H21" i="333"/>
  <c r="I21" i="333"/>
  <c r="J21" i="333"/>
  <c r="K21" i="333"/>
  <c r="L21" i="333"/>
  <c r="M21" i="333"/>
  <c r="N21" i="333"/>
  <c r="O21" i="333"/>
  <c r="A22" i="333"/>
  <c r="E22" i="333"/>
  <c r="F22" i="333"/>
  <c r="G22" i="333"/>
  <c r="H22" i="333"/>
  <c r="I22" i="333"/>
  <c r="J22" i="333"/>
  <c r="K22" i="333"/>
  <c r="L22" i="333"/>
  <c r="M22" i="333"/>
  <c r="N22" i="333"/>
  <c r="O22" i="333"/>
  <c r="E23" i="333"/>
  <c r="F23" i="333"/>
  <c r="G23" i="333"/>
  <c r="H23" i="333"/>
  <c r="I23" i="333"/>
  <c r="J23" i="333"/>
  <c r="K23" i="333"/>
  <c r="L23" i="333"/>
  <c r="M23" i="333"/>
  <c r="N23" i="333"/>
  <c r="O23" i="333"/>
  <c r="E24" i="333"/>
  <c r="F24" i="333"/>
  <c r="G24" i="333"/>
  <c r="H24" i="333"/>
  <c r="I24" i="333"/>
  <c r="J24" i="333"/>
  <c r="K24" i="333"/>
  <c r="L24" i="333"/>
  <c r="M24" i="333"/>
  <c r="N24" i="333"/>
  <c r="O24" i="333"/>
  <c r="B28" i="333"/>
  <c r="A1" i="337" s="1"/>
  <c r="B80" i="100"/>
  <c r="A1" i="279" s="1"/>
  <c r="B81" i="100"/>
  <c r="A1" i="65" s="1"/>
  <c r="B84" i="100"/>
  <c r="A1" i="201" s="1"/>
  <c r="B85" i="100"/>
  <c r="A1" i="200" s="1"/>
  <c r="B86" i="100"/>
  <c r="A1" i="199" s="1"/>
  <c r="B87" i="100"/>
  <c r="A1" i="198" s="1"/>
  <c r="B88" i="100"/>
  <c r="A1" i="243" s="1"/>
  <c r="B89" i="100"/>
  <c r="A1" i="285" s="1"/>
  <c r="B90" i="100"/>
  <c r="A1" i="336" s="1"/>
  <c r="B91" i="100"/>
  <c r="A1" i="204" s="1"/>
  <c r="B92" i="100"/>
  <c r="A1" i="284" s="1"/>
  <c r="B93" i="100"/>
  <c r="A1" i="341" s="1"/>
  <c r="B94" i="100"/>
  <c r="A1" i="342" s="1"/>
  <c r="B97" i="100"/>
  <c r="A1" i="330" s="1"/>
  <c r="B98" i="100"/>
  <c r="A1" i="329" s="1"/>
  <c r="B99" i="100"/>
  <c r="B100" i="100"/>
  <c r="A1" i="282" s="1"/>
  <c r="X34" i="338"/>
  <c r="B19" i="100" s="1"/>
  <c r="H2" i="330" s="1"/>
  <c r="E65" i="198"/>
  <c r="L56" i="198"/>
  <c r="D56" i="198"/>
  <c r="D10" i="198" s="1"/>
  <c r="F39" i="279"/>
  <c r="G56" i="198"/>
  <c r="E39" i="279"/>
  <c r="F56" i="198"/>
  <c r="H36" i="279"/>
  <c r="E25" i="201"/>
  <c r="G25" i="201"/>
  <c r="H47" i="198" s="1"/>
  <c r="C39" i="279"/>
  <c r="E56" i="198"/>
  <c r="E40" i="201"/>
  <c r="H59" i="198"/>
  <c r="G40" i="201"/>
  <c r="F37" i="279"/>
  <c r="F59" i="198"/>
  <c r="K25" i="201"/>
  <c r="L47" i="198" s="1"/>
  <c r="C25" i="201"/>
  <c r="D47" i="198" s="1"/>
  <c r="I36" i="279"/>
  <c r="F47" i="198"/>
  <c r="I158" i="202"/>
  <c r="N192" i="204" s="1"/>
  <c r="M192" i="204" s="1"/>
  <c r="K174" i="202"/>
  <c r="K178" i="202" s="1"/>
  <c r="K54" i="198"/>
  <c r="D110" i="343"/>
  <c r="D118" i="343"/>
  <c r="H118" i="343"/>
  <c r="J6" i="343"/>
  <c r="C74" i="343"/>
  <c r="I110" i="343"/>
  <c r="G110" i="343"/>
  <c r="J74" i="343"/>
  <c r="H53" i="198"/>
  <c r="H54" i="198"/>
  <c r="I6" i="344"/>
  <c r="E118" i="344"/>
  <c r="D118" i="344"/>
  <c r="E74" i="284"/>
  <c r="E74" i="341"/>
  <c r="K6" i="341"/>
  <c r="G110" i="341"/>
  <c r="K110" i="341"/>
  <c r="G28" i="279"/>
  <c r="G32" i="279" s="1"/>
  <c r="J6" i="341"/>
  <c r="E118" i="341"/>
  <c r="K74" i="341"/>
  <c r="F118" i="341"/>
  <c r="J118" i="341"/>
  <c r="F111" i="202"/>
  <c r="F174" i="202"/>
  <c r="J174" i="202"/>
  <c r="J178" i="202" s="1"/>
  <c r="K52" i="202"/>
  <c r="P86" i="204" s="1"/>
  <c r="J54" i="198"/>
  <c r="C111" i="202"/>
  <c r="E174" i="202"/>
  <c r="D174" i="202"/>
  <c r="D178" i="202" s="1"/>
  <c r="H54" i="285" l="1"/>
  <c r="E54" i="285"/>
  <c r="I74" i="284"/>
  <c r="J110" i="341"/>
  <c r="J6" i="342"/>
  <c r="E6" i="342"/>
  <c r="I6" i="342"/>
  <c r="C6" i="342"/>
  <c r="I110" i="342"/>
  <c r="C6" i="343"/>
  <c r="G6" i="343"/>
  <c r="F6" i="343"/>
  <c r="D6" i="343"/>
  <c r="D167" i="343" s="1"/>
  <c r="H6" i="343"/>
  <c r="F74" i="343"/>
  <c r="E74" i="343"/>
  <c r="I111" i="202"/>
  <c r="N145" i="204" s="1"/>
  <c r="M145" i="204" s="1"/>
  <c r="B4" i="100"/>
  <c r="D2" i="198" s="1"/>
  <c r="G54" i="285"/>
  <c r="G22" i="285"/>
  <c r="G6" i="284"/>
  <c r="F6" i="284"/>
  <c r="I6" i="284"/>
  <c r="D6" i="341"/>
  <c r="H6" i="341"/>
  <c r="C6" i="341"/>
  <c r="G6" i="341"/>
  <c r="F6" i="341"/>
  <c r="F167" i="341" s="1"/>
  <c r="E6" i="341"/>
  <c r="E167" i="341" s="1"/>
  <c r="J167" i="341"/>
  <c r="E118" i="343"/>
  <c r="B21" i="100"/>
  <c r="J2" i="330" s="1"/>
  <c r="I40" i="201"/>
  <c r="F54" i="285"/>
  <c r="D6" i="284"/>
  <c r="K74" i="284"/>
  <c r="I110" i="341"/>
  <c r="C118" i="341"/>
  <c r="G74" i="342"/>
  <c r="D110" i="342"/>
  <c r="H110" i="342"/>
  <c r="G110" i="342"/>
  <c r="H74" i="343"/>
  <c r="H167" i="343" s="1"/>
  <c r="J118" i="343"/>
  <c r="D74" i="344"/>
  <c r="C118" i="344"/>
  <c r="G118" i="344"/>
  <c r="K118" i="344"/>
  <c r="E12" i="202"/>
  <c r="C26" i="202"/>
  <c r="E37" i="202"/>
  <c r="C68" i="202"/>
  <c r="C103" i="202"/>
  <c r="D111" i="202"/>
  <c r="H111" i="202"/>
  <c r="H110" i="202" s="1"/>
  <c r="G111" i="202"/>
  <c r="E114" i="202"/>
  <c r="I38" i="285"/>
  <c r="I25" i="201"/>
  <c r="I42" i="201" s="1"/>
  <c r="I53" i="201" s="1"/>
  <c r="J35" i="279"/>
  <c r="C141" i="202"/>
  <c r="C139" i="202" s="1"/>
  <c r="D38" i="285"/>
  <c r="H22" i="285"/>
  <c r="E56" i="285"/>
  <c r="F34" i="198" s="1"/>
  <c r="F22" i="285"/>
  <c r="J38" i="285"/>
  <c r="C56" i="285"/>
  <c r="D34" i="198" s="1"/>
  <c r="I22" i="285"/>
  <c r="J22" i="285"/>
  <c r="D40" i="201"/>
  <c r="E13" i="198"/>
  <c r="C28" i="279"/>
  <c r="C32" i="279" s="1"/>
  <c r="E53" i="198"/>
  <c r="H37" i="279"/>
  <c r="F35" i="279"/>
  <c r="G42" i="201"/>
  <c r="G53" i="201" s="1"/>
  <c r="I14" i="198"/>
  <c r="G58" i="198"/>
  <c r="G13" i="198" s="1"/>
  <c r="F25" i="201"/>
  <c r="G47" i="198" s="1"/>
  <c r="H35" i="279"/>
  <c r="L53" i="198"/>
  <c r="I28" i="279"/>
  <c r="I32" i="279" s="1"/>
  <c r="C40" i="201"/>
  <c r="C42" i="201" s="1"/>
  <c r="C53" i="201" s="1"/>
  <c r="D59" i="198"/>
  <c r="D12" i="198" s="1"/>
  <c r="E18" i="198"/>
  <c r="I167" i="344"/>
  <c r="H118" i="342"/>
  <c r="J149" i="202"/>
  <c r="O183" i="204" s="1"/>
  <c r="J155" i="202"/>
  <c r="O189" i="204" s="1"/>
  <c r="I155" i="202"/>
  <c r="N189" i="204" s="1"/>
  <c r="M189" i="204" s="1"/>
  <c r="I114" i="202"/>
  <c r="N148" i="204" s="1"/>
  <c r="M148" i="204" s="1"/>
  <c r="J114" i="202"/>
  <c r="O148" i="204" s="1"/>
  <c r="J131" i="202"/>
  <c r="O165" i="204" s="1"/>
  <c r="K103" i="202"/>
  <c r="P137" i="204" s="1"/>
  <c r="K68" i="202"/>
  <c r="P102" i="204" s="1"/>
  <c r="C74" i="284"/>
  <c r="F74" i="284"/>
  <c r="J74" i="284"/>
  <c r="H74" i="284"/>
  <c r="D110" i="284"/>
  <c r="H110" i="284"/>
  <c r="E16" i="202"/>
  <c r="G26" i="202"/>
  <c r="D37" i="202"/>
  <c r="H44" i="202"/>
  <c r="H52" i="202"/>
  <c r="C62" i="202"/>
  <c r="D68" i="202"/>
  <c r="F75" i="202"/>
  <c r="F98" i="202"/>
  <c r="E98" i="202"/>
  <c r="H98" i="202"/>
  <c r="G103" i="202"/>
  <c r="G114" i="202"/>
  <c r="G110" i="202" s="1"/>
  <c r="F119" i="202"/>
  <c r="E119" i="202"/>
  <c r="H119" i="202"/>
  <c r="C131" i="202"/>
  <c r="G131" i="202"/>
  <c r="I98" i="202"/>
  <c r="N132" i="204" s="1"/>
  <c r="M132" i="204" s="1"/>
  <c r="I75" i="202"/>
  <c r="N109" i="204" s="1"/>
  <c r="M109" i="204" s="1"/>
  <c r="J6" i="284"/>
  <c r="K6" i="284"/>
  <c r="H6" i="284"/>
  <c r="C6" i="284"/>
  <c r="C167" i="284" s="1"/>
  <c r="G74" i="284"/>
  <c r="F110" i="284"/>
  <c r="F12" i="202"/>
  <c r="K149" i="202"/>
  <c r="P183" i="204" s="1"/>
  <c r="I152" i="202"/>
  <c r="N186" i="204" s="1"/>
  <c r="M186" i="204" s="1"/>
  <c r="N88" i="204"/>
  <c r="M88" i="204" s="1"/>
  <c r="I52" i="202"/>
  <c r="N86" i="204" s="1"/>
  <c r="M86" i="204" s="1"/>
  <c r="J75" i="202"/>
  <c r="O42" i="204"/>
  <c r="J7" i="202"/>
  <c r="O41" i="204" s="1"/>
  <c r="C16" i="202"/>
  <c r="P146" i="204"/>
  <c r="K111" i="202"/>
  <c r="P145" i="204" s="1"/>
  <c r="G119" i="202"/>
  <c r="G118" i="202" s="1"/>
  <c r="H141" i="202"/>
  <c r="H139" i="202" s="1"/>
  <c r="O51" i="204"/>
  <c r="J16" i="202"/>
  <c r="O50" i="204" s="1"/>
  <c r="P72" i="204"/>
  <c r="K37" i="202"/>
  <c r="P71" i="204" s="1"/>
  <c r="O133" i="204"/>
  <c r="J98" i="202"/>
  <c r="O132" i="204" s="1"/>
  <c r="O146" i="204"/>
  <c r="J111" i="202"/>
  <c r="J110" i="202" s="1"/>
  <c r="O144" i="204" s="1"/>
  <c r="K12" i="202"/>
  <c r="P46" i="204" s="1"/>
  <c r="K131" i="202"/>
  <c r="I12" i="202"/>
  <c r="N46" i="204" s="1"/>
  <c r="M46" i="204" s="1"/>
  <c r="G7" i="202"/>
  <c r="D110" i="202"/>
  <c r="E131" i="202"/>
  <c r="G141" i="202"/>
  <c r="G139" i="202" s="1"/>
  <c r="D7" i="202"/>
  <c r="H7" i="202"/>
  <c r="C7" i="202"/>
  <c r="F7" i="202"/>
  <c r="E7" i="202"/>
  <c r="H12" i="202"/>
  <c r="C12" i="202"/>
  <c r="G12" i="202"/>
  <c r="D16" i="202"/>
  <c r="H16" i="202"/>
  <c r="G16" i="202"/>
  <c r="F16" i="202"/>
  <c r="D26" i="202"/>
  <c r="H26" i="202"/>
  <c r="F26" i="202"/>
  <c r="E26" i="202"/>
  <c r="F37" i="202"/>
  <c r="H37" i="202"/>
  <c r="C37" i="202"/>
  <c r="G37" i="202"/>
  <c r="D44" i="202"/>
  <c r="C44" i="202"/>
  <c r="G44" i="202"/>
  <c r="F44" i="202"/>
  <c r="E44" i="202"/>
  <c r="E52" i="202"/>
  <c r="D52" i="202"/>
  <c r="C52" i="202"/>
  <c r="G52" i="202"/>
  <c r="F52" i="202"/>
  <c r="D62" i="202"/>
  <c r="H62" i="202"/>
  <c r="G62" i="202"/>
  <c r="F62" i="202"/>
  <c r="E62" i="202"/>
  <c r="G68" i="202"/>
  <c r="F68" i="202"/>
  <c r="E68" i="202"/>
  <c r="C75" i="202"/>
  <c r="G75" i="202"/>
  <c r="E75" i="202"/>
  <c r="D75" i="202"/>
  <c r="H75" i="202"/>
  <c r="H74" i="202" s="1"/>
  <c r="D98" i="202"/>
  <c r="C98" i="202"/>
  <c r="G98" i="202"/>
  <c r="F103" i="202"/>
  <c r="E103" i="202"/>
  <c r="D103" i="202"/>
  <c r="H103" i="202"/>
  <c r="E111" i="202"/>
  <c r="E110" i="202" s="1"/>
  <c r="C114" i="202"/>
  <c r="C110" i="202" s="1"/>
  <c r="F114" i="202"/>
  <c r="F110" i="202" s="1"/>
  <c r="D119" i="202"/>
  <c r="C119" i="202"/>
  <c r="F131" i="202"/>
  <c r="D131" i="202"/>
  <c r="H131" i="202"/>
  <c r="F141" i="202"/>
  <c r="F139" i="202" s="1"/>
  <c r="K119" i="202"/>
  <c r="P153" i="204" s="1"/>
  <c r="J118" i="284"/>
  <c r="F37" i="336"/>
  <c r="G37" i="336"/>
  <c r="J37" i="336"/>
  <c r="I37" i="336"/>
  <c r="H37" i="336"/>
  <c r="E37" i="336"/>
  <c r="D37" i="336"/>
  <c r="I54" i="285"/>
  <c r="J54" i="285"/>
  <c r="K54" i="285"/>
  <c r="I56" i="285"/>
  <c r="J34" i="198" s="1"/>
  <c r="J39" i="200"/>
  <c r="O238" i="204" s="1"/>
  <c r="J25" i="201"/>
  <c r="K47" i="198" s="1"/>
  <c r="I35" i="279"/>
  <c r="I53" i="198"/>
  <c r="J28" i="279"/>
  <c r="J32" i="279" s="1"/>
  <c r="F28" i="279"/>
  <c r="F32" i="279" s="1"/>
  <c r="K53" i="198"/>
  <c r="I10" i="279"/>
  <c r="X36" i="338"/>
  <c r="B24" i="100"/>
  <c r="M2" i="330" s="1"/>
  <c r="B20" i="100"/>
  <c r="I2" i="330" s="1"/>
  <c r="B5" i="100"/>
  <c r="B30" i="100"/>
  <c r="B27" i="100"/>
  <c r="B37" i="100"/>
  <c r="H3" i="330"/>
  <c r="B28" i="100"/>
  <c r="B26" i="100"/>
  <c r="B17" i="100"/>
  <c r="J3" i="285" s="1"/>
  <c r="B7" i="100"/>
  <c r="B51" i="100" s="1"/>
  <c r="B6" i="100"/>
  <c r="J167" i="343"/>
  <c r="I44" i="279"/>
  <c r="O236" i="204"/>
  <c r="J43" i="279"/>
  <c r="P227" i="204"/>
  <c r="I74" i="202"/>
  <c r="N108" i="204" s="1"/>
  <c r="M108" i="204" s="1"/>
  <c r="K62" i="202"/>
  <c r="P96" i="204" s="1"/>
  <c r="K44" i="202"/>
  <c r="P78" i="204" s="1"/>
  <c r="I37" i="202"/>
  <c r="N71" i="204" s="1"/>
  <c r="M71" i="204" s="1"/>
  <c r="K26" i="202"/>
  <c r="P60" i="204" s="1"/>
  <c r="J62" i="202"/>
  <c r="O96" i="204" s="1"/>
  <c r="I7" i="202"/>
  <c r="G53" i="198"/>
  <c r="F178" i="202"/>
  <c r="J12" i="202"/>
  <c r="O46" i="204" s="1"/>
  <c r="I16" i="202"/>
  <c r="N50" i="204" s="1"/>
  <c r="M50" i="204" s="1"/>
  <c r="I68" i="202"/>
  <c r="N102" i="204" s="1"/>
  <c r="M102" i="204" s="1"/>
  <c r="O145" i="204"/>
  <c r="F2" i="336"/>
  <c r="K40" i="201"/>
  <c r="K42" i="201" s="1"/>
  <c r="K53" i="201" s="1"/>
  <c r="J59" i="198"/>
  <c r="J12" i="198" s="1"/>
  <c r="J44" i="279"/>
  <c r="P236" i="204"/>
  <c r="E39" i="200"/>
  <c r="H56" i="285"/>
  <c r="I34" i="198" s="1"/>
  <c r="M6" i="204"/>
  <c r="M22" i="204" s="1"/>
  <c r="N22" i="204"/>
  <c r="P22" i="204"/>
  <c r="F118" i="284"/>
  <c r="K118" i="341"/>
  <c r="K167" i="341" s="1"/>
  <c r="D74" i="342"/>
  <c r="I118" i="342"/>
  <c r="F110" i="344"/>
  <c r="K110" i="344"/>
  <c r="I136" i="202"/>
  <c r="N170" i="204" s="1"/>
  <c r="M170" i="204" s="1"/>
  <c r="N171" i="204"/>
  <c r="M171" i="204" s="1"/>
  <c r="K152" i="202"/>
  <c r="P186" i="204" s="1"/>
  <c r="P187" i="204"/>
  <c r="K155" i="202"/>
  <c r="P189" i="204" s="1"/>
  <c r="P190" i="204"/>
  <c r="K161" i="202"/>
  <c r="P195" i="204" s="1"/>
  <c r="P196" i="204"/>
  <c r="B28" i="279"/>
  <c r="B32" i="279" s="1"/>
  <c r="C178" i="202"/>
  <c r="J53" i="198"/>
  <c r="I178" i="202"/>
  <c r="K167" i="284"/>
  <c r="J136" i="202"/>
  <c r="O170" i="204" s="1"/>
  <c r="O171" i="204"/>
  <c r="I164" i="202"/>
  <c r="N198" i="204" s="1"/>
  <c r="M198" i="204" s="1"/>
  <c r="N199" i="204"/>
  <c r="M199" i="204" s="1"/>
  <c r="I62" i="202"/>
  <c r="N96" i="204" s="1"/>
  <c r="M96" i="204" s="1"/>
  <c r="I26" i="202"/>
  <c r="N60" i="204" s="1"/>
  <c r="M60" i="204" s="1"/>
  <c r="K7" i="202"/>
  <c r="P165" i="204"/>
  <c r="H44" i="279"/>
  <c r="N236" i="204"/>
  <c r="M236" i="204" s="1"/>
  <c r="E110" i="284"/>
  <c r="E167" i="284" s="1"/>
  <c r="D110" i="341"/>
  <c r="D167" i="341" s="1"/>
  <c r="G6" i="342"/>
  <c r="F6" i="342"/>
  <c r="D6" i="342"/>
  <c r="D118" i="342"/>
  <c r="K6" i="343"/>
  <c r="I74" i="343"/>
  <c r="C6" i="344"/>
  <c r="K136" i="202"/>
  <c r="P170" i="204" s="1"/>
  <c r="P171" i="204"/>
  <c r="E141" i="202"/>
  <c r="E139" i="202" s="1"/>
  <c r="D141" i="202"/>
  <c r="D139" i="202" s="1"/>
  <c r="K141" i="202"/>
  <c r="P178" i="204"/>
  <c r="J141" i="202"/>
  <c r="O179" i="204"/>
  <c r="I149" i="202"/>
  <c r="N183" i="204" s="1"/>
  <c r="M183" i="204" s="1"/>
  <c r="N184" i="204"/>
  <c r="M184" i="204" s="1"/>
  <c r="K158" i="202"/>
  <c r="P192" i="204" s="1"/>
  <c r="J161" i="202"/>
  <c r="O195" i="204" s="1"/>
  <c r="J164" i="202"/>
  <c r="O198" i="204" s="1"/>
  <c r="O199" i="204"/>
  <c r="F53" i="198"/>
  <c r="E178" i="202"/>
  <c r="F167" i="343"/>
  <c r="J158" i="202"/>
  <c r="O192" i="204" s="1"/>
  <c r="O193" i="204"/>
  <c r="I161" i="202"/>
  <c r="N195" i="204" s="1"/>
  <c r="M195" i="204" s="1"/>
  <c r="N196" i="204"/>
  <c r="M196" i="204" s="1"/>
  <c r="D28" i="279"/>
  <c r="D32" i="279" s="1"/>
  <c r="J103" i="202"/>
  <c r="O137" i="204" s="1"/>
  <c r="J68" i="202"/>
  <c r="O102" i="204" s="1"/>
  <c r="J52" i="202"/>
  <c r="O86" i="204" s="1"/>
  <c r="J37" i="202"/>
  <c r="O71" i="204" s="1"/>
  <c r="K114" i="202"/>
  <c r="K75" i="202"/>
  <c r="J47" i="198"/>
  <c r="E42" i="201"/>
  <c r="E53" i="201" s="1"/>
  <c r="E28" i="279"/>
  <c r="E32" i="279" s="1"/>
  <c r="J44" i="202"/>
  <c r="O78" i="204" s="1"/>
  <c r="I141" i="202"/>
  <c r="N175" i="204" s="1"/>
  <c r="M175" i="204" s="1"/>
  <c r="I119" i="202"/>
  <c r="N153" i="204" s="1"/>
  <c r="M153" i="204" s="1"/>
  <c r="I103" i="202"/>
  <c r="N137" i="204" s="1"/>
  <c r="M137" i="204" s="1"/>
  <c r="I44" i="202"/>
  <c r="N78" i="204" s="1"/>
  <c r="M78" i="204" s="1"/>
  <c r="K16" i="202"/>
  <c r="P50" i="204" s="1"/>
  <c r="J119" i="202"/>
  <c r="J26" i="202"/>
  <c r="O60" i="204" s="1"/>
  <c r="I131" i="202"/>
  <c r="K98" i="202"/>
  <c r="P132" i="204" s="1"/>
  <c r="B16" i="100"/>
  <c r="I3" i="344" s="1"/>
  <c r="I43" i="279"/>
  <c r="J38" i="279"/>
  <c r="C37" i="279"/>
  <c r="H43" i="279"/>
  <c r="N227" i="204"/>
  <c r="M227" i="204" s="1"/>
  <c r="F56" i="285"/>
  <c r="G34" i="198" s="1"/>
  <c r="O22" i="204"/>
  <c r="G110" i="284"/>
  <c r="I118" i="284"/>
  <c r="H118" i="284"/>
  <c r="H74" i="341"/>
  <c r="J74" i="342"/>
  <c r="J167" i="342" s="1"/>
  <c r="E74" i="342"/>
  <c r="E167" i="342" s="1"/>
  <c r="H74" i="342"/>
  <c r="F110" i="342"/>
  <c r="E118" i="342"/>
  <c r="K118" i="342"/>
  <c r="E6" i="343"/>
  <c r="I6" i="343"/>
  <c r="I167" i="343" s="1"/>
  <c r="K74" i="343"/>
  <c r="K167" i="343" s="1"/>
  <c r="F6" i="344"/>
  <c r="E6" i="344"/>
  <c r="E167" i="344" s="1"/>
  <c r="D6" i="344"/>
  <c r="D167" i="344" s="1"/>
  <c r="F74" i="344"/>
  <c r="J152" i="202"/>
  <c r="O186" i="204" s="1"/>
  <c r="O187" i="204"/>
  <c r="K164" i="202"/>
  <c r="P198" i="204" s="1"/>
  <c r="P199" i="204"/>
  <c r="C2" i="199"/>
  <c r="N3" i="329"/>
  <c r="D2" i="330"/>
  <c r="F3" i="330"/>
  <c r="C2" i="344"/>
  <c r="E2" i="330"/>
  <c r="O2" i="329"/>
  <c r="C2" i="65"/>
  <c r="F2" i="201"/>
  <c r="H42" i="279"/>
  <c r="D42" i="279"/>
  <c r="J42" i="279"/>
  <c r="H39" i="200"/>
  <c r="F17" i="279"/>
  <c r="F18" i="279" s="1"/>
  <c r="D17" i="279"/>
  <c r="D18" i="279" s="1"/>
  <c r="G65" i="198"/>
  <c r="G68" i="198" s="1"/>
  <c r="G38" i="198" s="1"/>
  <c r="J65" i="198"/>
  <c r="J68" i="198" s="1"/>
  <c r="J38" i="198" s="1"/>
  <c r="J17" i="279"/>
  <c r="J18" i="279" s="1"/>
  <c r="G17" i="279"/>
  <c r="G18" i="279" s="1"/>
  <c r="H17" i="279"/>
  <c r="H18" i="279" s="1"/>
  <c r="D10" i="279"/>
  <c r="F37" i="65"/>
  <c r="F41" i="65" s="1"/>
  <c r="F43" i="65" s="1"/>
  <c r="K65" i="198"/>
  <c r="K68" i="198" s="1"/>
  <c r="K38" i="198" s="1"/>
  <c r="C37" i="65"/>
  <c r="C41" i="65" s="1"/>
  <c r="C43" i="65" s="1"/>
  <c r="K37" i="65"/>
  <c r="K41" i="65" s="1"/>
  <c r="K43" i="65" s="1"/>
  <c r="H37" i="65"/>
  <c r="H41" i="65" s="1"/>
  <c r="H43" i="65" s="1"/>
  <c r="F65" i="198"/>
  <c r="F18" i="198" s="1"/>
  <c r="F10" i="279"/>
  <c r="J37" i="65"/>
  <c r="J41" i="65" s="1"/>
  <c r="J43" i="65" s="1"/>
  <c r="G37" i="65"/>
  <c r="G41" i="65" s="1"/>
  <c r="G43" i="65" s="1"/>
  <c r="E7" i="198"/>
  <c r="I42" i="279"/>
  <c r="C39" i="200"/>
  <c r="C41" i="200" s="1"/>
  <c r="D22" i="198" s="1"/>
  <c r="E10" i="279"/>
  <c r="C10" i="279"/>
  <c r="D65" i="198"/>
  <c r="D35" i="198" s="1"/>
  <c r="F13" i="198"/>
  <c r="H10" i="198"/>
  <c r="L13" i="198"/>
  <c r="E39" i="198"/>
  <c r="L33" i="198"/>
  <c r="L18" i="198"/>
  <c r="F12" i="198"/>
  <c r="G7" i="198"/>
  <c r="I16" i="198"/>
  <c r="E16" i="198"/>
  <c r="H13" i="198"/>
  <c r="I38" i="198"/>
  <c r="E35" i="198"/>
  <c r="G16" i="198"/>
  <c r="J10" i="198"/>
  <c r="F39" i="198"/>
  <c r="J14" i="198"/>
  <c r="G10" i="198"/>
  <c r="F7" i="198"/>
  <c r="L36" i="198"/>
  <c r="H7" i="198"/>
  <c r="J7" i="198"/>
  <c r="G39" i="198"/>
  <c r="K16" i="198"/>
  <c r="E10" i="198"/>
  <c r="I18" i="198"/>
  <c r="L35" i="198"/>
  <c r="L39" i="198"/>
  <c r="H39" i="198"/>
  <c r="L16" i="198"/>
  <c r="J16" i="198"/>
  <c r="G14" i="198"/>
  <c r="D40" i="198"/>
  <c r="P36" i="204"/>
  <c r="O36" i="204"/>
  <c r="D14" i="198"/>
  <c r="L14" i="198"/>
  <c r="I7" i="198"/>
  <c r="F10" i="198"/>
  <c r="E68" i="198"/>
  <c r="E38" i="198" s="1"/>
  <c r="L7" i="198"/>
  <c r="K12" i="198"/>
  <c r="K39" i="198"/>
  <c r="F14" i="198"/>
  <c r="D7" i="198"/>
  <c r="L12" i="198"/>
  <c r="F74" i="198"/>
  <c r="E33" i="198"/>
  <c r="E36" i="198"/>
  <c r="B2" i="279"/>
  <c r="B38" i="100"/>
  <c r="I56" i="198"/>
  <c r="I10" i="198" s="1"/>
  <c r="G39" i="279"/>
  <c r="H28" i="279"/>
  <c r="H32" i="279" s="1"/>
  <c r="E12" i="198"/>
  <c r="J56" i="285"/>
  <c r="K34" i="198" s="1"/>
  <c r="F2" i="202"/>
  <c r="F2" i="199"/>
  <c r="F2" i="285"/>
  <c r="F2" i="65"/>
  <c r="F2" i="342"/>
  <c r="F2" i="284"/>
  <c r="E2" i="279"/>
  <c r="F2" i="344"/>
  <c r="I37" i="279"/>
  <c r="F68" i="198"/>
  <c r="F38" i="198" s="1"/>
  <c r="F35" i="198"/>
  <c r="K14" i="198"/>
  <c r="I3" i="343"/>
  <c r="H14" i="198"/>
  <c r="I36" i="198"/>
  <c r="D53" i="198"/>
  <c r="I3" i="201"/>
  <c r="H12" i="198"/>
  <c r="F2" i="200"/>
  <c r="K7" i="198"/>
  <c r="I58" i="198"/>
  <c r="G35" i="279"/>
  <c r="H25" i="201"/>
  <c r="D25" i="201"/>
  <c r="C35" i="279"/>
  <c r="F16" i="198"/>
  <c r="H6" i="344"/>
  <c r="E37" i="65"/>
  <c r="E41" i="65" s="1"/>
  <c r="E43" i="65" s="1"/>
  <c r="M36" i="204"/>
  <c r="F2" i="341"/>
  <c r="L10" i="198"/>
  <c r="F36" i="198"/>
  <c r="C2" i="200"/>
  <c r="C2" i="342"/>
  <c r="C2" i="201"/>
  <c r="C2" i="284"/>
  <c r="C2" i="343"/>
  <c r="C2" i="202"/>
  <c r="C2" i="341"/>
  <c r="C2" i="285"/>
  <c r="C17" i="279"/>
  <c r="C18" i="279" s="1"/>
  <c r="E17" i="279"/>
  <c r="E18" i="279" s="1"/>
  <c r="C38" i="279"/>
  <c r="J40" i="201"/>
  <c r="E37" i="279"/>
  <c r="F40" i="201"/>
  <c r="J39" i="198"/>
  <c r="I33" i="198"/>
  <c r="K39" i="200"/>
  <c r="P238" i="204" s="1"/>
  <c r="D39" i="200"/>
  <c r="I17" i="279"/>
  <c r="I18" i="279" s="1"/>
  <c r="H10" i="279"/>
  <c r="I39" i="279"/>
  <c r="K56" i="198"/>
  <c r="D13" i="198"/>
  <c r="D39" i="198"/>
  <c r="K56" i="285"/>
  <c r="L34" i="198" s="1"/>
  <c r="G56" i="285"/>
  <c r="H34" i="198" s="1"/>
  <c r="N36" i="204"/>
  <c r="C110" i="342"/>
  <c r="C167" i="342" s="1"/>
  <c r="B17" i="279"/>
  <c r="B18" i="279" s="1"/>
  <c r="I37" i="65"/>
  <c r="I41" i="65" s="1"/>
  <c r="I43" i="65" s="1"/>
  <c r="K13" i="198"/>
  <c r="I39" i="200"/>
  <c r="N238" i="204" s="1"/>
  <c r="M238" i="204" s="1"/>
  <c r="G39" i="200"/>
  <c r="I35" i="198"/>
  <c r="D56" i="285"/>
  <c r="E34" i="198" s="1"/>
  <c r="D22" i="285"/>
  <c r="J6" i="344"/>
  <c r="J167" i="344" s="1"/>
  <c r="G6" i="344"/>
  <c r="B23" i="100"/>
  <c r="L2" i="330" s="1"/>
  <c r="G10" i="279"/>
  <c r="H65" i="198"/>
  <c r="H33" i="198" s="1"/>
  <c r="F39" i="200"/>
  <c r="F41" i="200" s="1"/>
  <c r="G22" i="198" s="1"/>
  <c r="I39" i="198"/>
  <c r="E22" i="285"/>
  <c r="K37" i="336"/>
  <c r="B10" i="279"/>
  <c r="H110" i="341"/>
  <c r="H167" i="341" s="1"/>
  <c r="H6" i="342"/>
  <c r="C74" i="344"/>
  <c r="G74" i="344"/>
  <c r="B22" i="100"/>
  <c r="K2" i="330" s="1"/>
  <c r="B3" i="100"/>
  <c r="B18" i="100"/>
  <c r="Q3" i="329" s="1"/>
  <c r="B25" i="100"/>
  <c r="N2" i="330" s="1"/>
  <c r="B2" i="100"/>
  <c r="M3" i="329" s="1"/>
  <c r="B29" i="100"/>
  <c r="D37" i="65"/>
  <c r="D41" i="65" s="1"/>
  <c r="D43" i="65" s="1"/>
  <c r="F33" i="198"/>
  <c r="E14" i="198"/>
  <c r="J10" i="279"/>
  <c r="D118" i="284"/>
  <c r="I118" i="341"/>
  <c r="I167" i="341" s="1"/>
  <c r="E110" i="343"/>
  <c r="E167" i="343" s="1"/>
  <c r="G118" i="343"/>
  <c r="H74" i="344"/>
  <c r="G118" i="341"/>
  <c r="I74" i="342"/>
  <c r="I167" i="342" s="1"/>
  <c r="K110" i="342"/>
  <c r="K167" i="342" s="1"/>
  <c r="C118" i="343"/>
  <c r="C167" i="343" s="1"/>
  <c r="K74" i="344"/>
  <c r="K167" i="344" s="1"/>
  <c r="H167" i="344" l="1"/>
  <c r="J3" i="344"/>
  <c r="P3" i="329"/>
  <c r="C167" i="344"/>
  <c r="I110" i="202"/>
  <c r="N144" i="204" s="1"/>
  <c r="M144" i="204" s="1"/>
  <c r="C167" i="341"/>
  <c r="C6" i="202"/>
  <c r="D167" i="284"/>
  <c r="I167" i="284"/>
  <c r="E74" i="202"/>
  <c r="D6" i="202"/>
  <c r="J74" i="202"/>
  <c r="O108" i="204" s="1"/>
  <c r="H118" i="202"/>
  <c r="G167" i="341"/>
  <c r="G167" i="343"/>
  <c r="G167" i="342"/>
  <c r="F118" i="202"/>
  <c r="G74" i="202"/>
  <c r="E118" i="202"/>
  <c r="I19" i="279"/>
  <c r="I22" i="279" s="1"/>
  <c r="I24" i="279" s="1"/>
  <c r="D167" i="342"/>
  <c r="J167" i="284"/>
  <c r="J13" i="198"/>
  <c r="G12" i="198"/>
  <c r="F42" i="201"/>
  <c r="F53" i="201" s="1"/>
  <c r="G36" i="198"/>
  <c r="H167" i="342"/>
  <c r="G6" i="202"/>
  <c r="G167" i="202" s="1"/>
  <c r="G167" i="284"/>
  <c r="H6" i="202"/>
  <c r="H167" i="202" s="1"/>
  <c r="F74" i="202"/>
  <c r="F167" i="284"/>
  <c r="C118" i="202"/>
  <c r="H167" i="284"/>
  <c r="O109" i="204"/>
  <c r="E6" i="202"/>
  <c r="E167" i="202" s="1"/>
  <c r="D27" i="279" s="1"/>
  <c r="F6" i="202"/>
  <c r="C74" i="202"/>
  <c r="D118" i="202"/>
  <c r="D74" i="202"/>
  <c r="D167" i="202" s="1"/>
  <c r="D187" i="202" s="1"/>
  <c r="I139" i="202"/>
  <c r="N173" i="204" s="1"/>
  <c r="M173" i="204" s="1"/>
  <c r="K118" i="202"/>
  <c r="P152" i="204" s="1"/>
  <c r="J42" i="201"/>
  <c r="J53" i="201" s="1"/>
  <c r="K18" i="198"/>
  <c r="K33" i="198"/>
  <c r="K36" i="198"/>
  <c r="E19" i="279"/>
  <c r="E22" i="279" s="1"/>
  <c r="E24" i="279" s="1"/>
  <c r="J3" i="201"/>
  <c r="J3" i="65"/>
  <c r="J3" i="199"/>
  <c r="J3" i="341"/>
  <c r="I3" i="284"/>
  <c r="J3" i="200"/>
  <c r="J3" i="202"/>
  <c r="D3" i="330"/>
  <c r="G3" i="330"/>
  <c r="O3" i="204"/>
  <c r="J3" i="284"/>
  <c r="I3" i="279"/>
  <c r="J3" i="342"/>
  <c r="J3" i="343"/>
  <c r="F2" i="343"/>
  <c r="G2" i="198"/>
  <c r="K3" i="198"/>
  <c r="I3" i="199"/>
  <c r="J3" i="198"/>
  <c r="N3" i="204"/>
  <c r="F167" i="344"/>
  <c r="I118" i="202"/>
  <c r="N152" i="204" s="1"/>
  <c r="M152" i="204" s="1"/>
  <c r="N165" i="204"/>
  <c r="M165" i="204" s="1"/>
  <c r="P148" i="204"/>
  <c r="K110" i="202"/>
  <c r="P144" i="204" s="1"/>
  <c r="K139" i="202"/>
  <c r="P173" i="204" s="1"/>
  <c r="P175" i="204"/>
  <c r="J6" i="202"/>
  <c r="O3" i="329"/>
  <c r="I3" i="202"/>
  <c r="B2" i="204"/>
  <c r="I3" i="285"/>
  <c r="I3" i="65"/>
  <c r="I3" i="341"/>
  <c r="I6" i="202"/>
  <c r="N41" i="204"/>
  <c r="M41" i="204" s="1"/>
  <c r="I3" i="342"/>
  <c r="H3" i="279"/>
  <c r="I3" i="200"/>
  <c r="O153" i="204"/>
  <c r="J118" i="202"/>
  <c r="O152" i="204" s="1"/>
  <c r="J139" i="202"/>
  <c r="O173" i="204" s="1"/>
  <c r="O175" i="204"/>
  <c r="F167" i="342"/>
  <c r="K6" i="202"/>
  <c r="P41" i="204"/>
  <c r="G167" i="344"/>
  <c r="I2" i="336"/>
  <c r="C3" i="330"/>
  <c r="D19" i="279"/>
  <c r="D22" i="279" s="1"/>
  <c r="D24" i="279" s="1"/>
  <c r="P109" i="204"/>
  <c r="K74" i="202"/>
  <c r="P108" i="204" s="1"/>
  <c r="J35" i="198"/>
  <c r="K35" i="198"/>
  <c r="B45" i="279"/>
  <c r="D18" i="198"/>
  <c r="H19" i="279"/>
  <c r="H22" i="279" s="1"/>
  <c r="H24" i="279" s="1"/>
  <c r="G35" i="198"/>
  <c r="J36" i="198"/>
  <c r="G18" i="198"/>
  <c r="J33" i="198"/>
  <c r="G33" i="198"/>
  <c r="J18" i="198"/>
  <c r="J19" i="279"/>
  <c r="J22" i="279" s="1"/>
  <c r="J24" i="279" s="1"/>
  <c r="F19" i="279"/>
  <c r="F22" i="279" s="1"/>
  <c r="F24" i="279" s="1"/>
  <c r="D40" i="200"/>
  <c r="D41" i="200" s="1"/>
  <c r="E22" i="198" s="1"/>
  <c r="C46" i="200"/>
  <c r="C19" i="279"/>
  <c r="C22" i="279" s="1"/>
  <c r="C24" i="279" s="1"/>
  <c r="D36" i="198"/>
  <c r="D33" i="198"/>
  <c r="D68" i="198"/>
  <c r="D38" i="198" s="1"/>
  <c r="H36" i="198"/>
  <c r="G74" i="198"/>
  <c r="F73" i="198"/>
  <c r="F40" i="198" s="1"/>
  <c r="D2" i="65"/>
  <c r="D2" i="199"/>
  <c r="D2" i="201"/>
  <c r="D2" i="200"/>
  <c r="D2" i="285"/>
  <c r="D2" i="202"/>
  <c r="D2" i="284"/>
  <c r="D2" i="342"/>
  <c r="D2" i="343"/>
  <c r="D2" i="344"/>
  <c r="E2" i="198"/>
  <c r="C2" i="279"/>
  <c r="D2" i="341"/>
  <c r="E2" i="342"/>
  <c r="E2" i="199"/>
  <c r="D2" i="279"/>
  <c r="E2" i="201"/>
  <c r="E2" i="343"/>
  <c r="E2" i="200"/>
  <c r="E2" i="341"/>
  <c r="C2" i="336"/>
  <c r="E2" i="202"/>
  <c r="E2" i="344"/>
  <c r="E2" i="65"/>
  <c r="F2" i="198"/>
  <c r="E2" i="284"/>
  <c r="E2" i="285"/>
  <c r="B19" i="279"/>
  <c r="B22" i="279" s="1"/>
  <c r="B24" i="279" s="1"/>
  <c r="H35" i="198"/>
  <c r="G19" i="279"/>
  <c r="G22" i="279" s="1"/>
  <c r="G24" i="279" s="1"/>
  <c r="I13" i="198"/>
  <c r="I12" i="198"/>
  <c r="F46" i="200"/>
  <c r="E45" i="279"/>
  <c r="I47" i="198"/>
  <c r="H42" i="201"/>
  <c r="H53" i="201" s="1"/>
  <c r="F52" i="198"/>
  <c r="F8" i="198" s="1"/>
  <c r="H18" i="198"/>
  <c r="H68" i="198"/>
  <c r="H38" i="198" s="1"/>
  <c r="K10" i="198"/>
  <c r="K3" i="65"/>
  <c r="K3" i="342"/>
  <c r="K3" i="343"/>
  <c r="K3" i="202"/>
  <c r="K3" i="344"/>
  <c r="L3" i="198"/>
  <c r="K3" i="200"/>
  <c r="E3" i="330"/>
  <c r="K3" i="201"/>
  <c r="P3" i="204"/>
  <c r="K3" i="284"/>
  <c r="K3" i="285"/>
  <c r="K3" i="199"/>
  <c r="K3" i="341"/>
  <c r="J3" i="279"/>
  <c r="E47" i="198"/>
  <c r="D42" i="201"/>
  <c r="D53" i="201" s="1"/>
  <c r="E187" i="202" l="1"/>
  <c r="C167" i="202"/>
  <c r="C187" i="202" s="1"/>
  <c r="H187" i="202"/>
  <c r="F167" i="202"/>
  <c r="G52" i="198" s="1"/>
  <c r="G8" i="198" s="1"/>
  <c r="G187" i="202"/>
  <c r="F27" i="279"/>
  <c r="H52" i="198"/>
  <c r="H8" i="198" s="1"/>
  <c r="G27" i="279"/>
  <c r="I52" i="198"/>
  <c r="I8" i="198" s="1"/>
  <c r="E52" i="198"/>
  <c r="E8" i="198" s="1"/>
  <c r="C27" i="279"/>
  <c r="O40" i="204"/>
  <c r="J167" i="202"/>
  <c r="N40" i="204"/>
  <c r="M40" i="204" s="1"/>
  <c r="I167" i="202"/>
  <c r="P40" i="204"/>
  <c r="K167" i="202"/>
  <c r="C45" i="279"/>
  <c r="E40" i="200"/>
  <c r="E41" i="200" s="1"/>
  <c r="E46" i="200" s="1"/>
  <c r="D46" i="200"/>
  <c r="H74" i="198"/>
  <c r="G73" i="198"/>
  <c r="G40" i="198" s="1"/>
  <c r="B27" i="279" l="1"/>
  <c r="D52" i="198"/>
  <c r="D8" i="198" s="1"/>
  <c r="F187" i="202"/>
  <c r="E27" i="279"/>
  <c r="H40" i="200"/>
  <c r="H41" i="200" s="1"/>
  <c r="G40" i="200"/>
  <c r="G41" i="200" s="1"/>
  <c r="P201" i="204"/>
  <c r="L52" i="198"/>
  <c r="L8" i="198" s="1"/>
  <c r="J27" i="279"/>
  <c r="K187" i="202"/>
  <c r="O201" i="204"/>
  <c r="I27" i="279"/>
  <c r="K52" i="198"/>
  <c r="K8" i="198" s="1"/>
  <c r="J187" i="202"/>
  <c r="N201" i="204"/>
  <c r="M201" i="204" s="1"/>
  <c r="H27" i="279"/>
  <c r="I187" i="202"/>
  <c r="J52" i="198"/>
  <c r="J8" i="198" s="1"/>
  <c r="D45" i="279"/>
  <c r="F22" i="198"/>
  <c r="H73" i="198"/>
  <c r="H40" i="198" s="1"/>
  <c r="I74" i="198"/>
  <c r="H46" i="200" l="1"/>
  <c r="I22" i="198"/>
  <c r="I40" i="200"/>
  <c r="G45" i="279"/>
  <c r="H22" i="198"/>
  <c r="G46" i="200"/>
  <c r="F45" i="279"/>
  <c r="J74" i="198"/>
  <c r="I73" i="198"/>
  <c r="I40" i="198" s="1"/>
  <c r="N239" i="204" l="1"/>
  <c r="M239" i="204" s="1"/>
  <c r="I41" i="200"/>
  <c r="K74" i="198"/>
  <c r="J73" i="198"/>
  <c r="J40" i="198" s="1"/>
  <c r="J40" i="200" l="1"/>
  <c r="N240" i="204"/>
  <c r="M240" i="204" s="1"/>
  <c r="J22" i="198"/>
  <c r="I46" i="200"/>
  <c r="H45" i="279"/>
  <c r="K73" i="198"/>
  <c r="K40" i="198" s="1"/>
  <c r="L74" i="198"/>
  <c r="L73" i="198" s="1"/>
  <c r="L40" i="198" s="1"/>
  <c r="J41" i="200" l="1"/>
  <c r="O239" i="204"/>
  <c r="O240" i="204" l="1"/>
  <c r="K40" i="200"/>
  <c r="K22" i="198"/>
  <c r="I45" i="279"/>
  <c r="J46" i="200"/>
  <c r="K41" i="200" l="1"/>
  <c r="P239" i="204"/>
  <c r="L22" i="198" l="1"/>
  <c r="P240" i="204"/>
  <c r="K46" i="200"/>
  <c r="J45" i="279"/>
</calcChain>
</file>

<file path=xl/sharedStrings.xml><?xml version="1.0" encoding="utf-8"?>
<sst xmlns="http://schemas.openxmlformats.org/spreadsheetml/2006/main" count="3328" uniqueCount="1197">
  <si>
    <t>Medical Aid Contributions</t>
  </si>
  <si>
    <t>Performance Bonus</t>
  </si>
  <si>
    <t>Remuneration of Board Members</t>
  </si>
  <si>
    <t>Water</t>
  </si>
  <si>
    <t>Sanitation</t>
  </si>
  <si>
    <t>Schedule of funding diligence</t>
  </si>
  <si>
    <t>Other expenditure</t>
  </si>
  <si>
    <t>Present value</t>
  </si>
  <si>
    <t>Revenue Management</t>
  </si>
  <si>
    <t>Decrease (Increase) in non-current debtors</t>
  </si>
  <si>
    <t>Abattoirs</t>
  </si>
  <si>
    <t>Markets</t>
  </si>
  <si>
    <t>Forecast 2019/20</t>
  </si>
  <si>
    <t>Forecast 2018/19</t>
  </si>
  <si>
    <t>E</t>
  </si>
  <si>
    <t>F</t>
  </si>
  <si>
    <t>G</t>
  </si>
  <si>
    <t>National Government</t>
  </si>
  <si>
    <t>(Available cash + Investments)/monthly fixed operational expenditure</t>
  </si>
  <si>
    <t>Finance charges</t>
  </si>
  <si>
    <t>Other revenue</t>
  </si>
  <si>
    <t>Non current assets</t>
  </si>
  <si>
    <t>LIABILITIES</t>
  </si>
  <si>
    <t>Non current liabilities</t>
  </si>
  <si>
    <t>Total non current liabilities</t>
  </si>
  <si>
    <t>Total current liabilities</t>
  </si>
  <si>
    <t>Nat. or Prov. Govt</t>
  </si>
  <si>
    <t>Multi-year capital</t>
  </si>
  <si>
    <t>Cash/cash equivalents at the year end</t>
  </si>
  <si>
    <t xml:space="preserve"> - Adjustments Budget - Month YYYY</t>
  </si>
  <si>
    <t>Taxation</t>
  </si>
  <si>
    <t>Annual Debtors Collection Rate (Payment Level %)</t>
  </si>
  <si>
    <t>Outstanding Debtors to Revenue</t>
  </si>
  <si>
    <t>Funded by:</t>
  </si>
  <si>
    <t>Internally generated funds</t>
  </si>
  <si>
    <t>Employee costs</t>
  </si>
  <si>
    <t>C</t>
  </si>
  <si>
    <t>Public contributions &amp; donations</t>
  </si>
  <si>
    <t>Surplus/ (Deficit) for the yr/period</t>
  </si>
  <si>
    <t>Revenue by Source</t>
  </si>
  <si>
    <t>Unit of measurement</t>
  </si>
  <si>
    <t>Year11</t>
  </si>
  <si>
    <t>Year12</t>
  </si>
  <si>
    <t>Year13</t>
  </si>
  <si>
    <t>Year14</t>
  </si>
  <si>
    <t>Year15</t>
  </si>
  <si>
    <t>Expenditure By Type</t>
  </si>
  <si>
    <t>Total Expenditure</t>
  </si>
  <si>
    <t>Surplus/(Deficit)</t>
  </si>
  <si>
    <t>Total outstanding service debtors/annual revenue received for services</t>
  </si>
  <si>
    <t>Financial position</t>
  </si>
  <si>
    <t>Cash flows</t>
  </si>
  <si>
    <t>Other own revenue</t>
  </si>
  <si>
    <t>Materials and bulk purchases</t>
  </si>
  <si>
    <t>Investment revenue</t>
  </si>
  <si>
    <t>Munishort</t>
  </si>
  <si>
    <t>Community wealth/Equity</t>
  </si>
  <si>
    <t>2. Bulk purchases - water</t>
  </si>
  <si>
    <r>
      <t xml:space="preserve">1. Revenue includes </t>
    </r>
    <r>
      <rPr>
        <i/>
        <u/>
        <sz val="8"/>
        <rFont val="Arial Narrow"/>
        <family val="2"/>
      </rPr>
      <t>sales</t>
    </r>
    <r>
      <rPr>
        <i/>
        <sz val="8"/>
        <rFont val="Arial Narrow"/>
        <family val="2"/>
      </rPr>
      <t xml:space="preserve"> of: (insert description)</t>
    </r>
  </si>
  <si>
    <t>Head40</t>
  </si>
  <si>
    <t>Head41</t>
  </si>
  <si>
    <t>Head42</t>
  </si>
  <si>
    <t>Sub Total - Other Staff of Entities</t>
  </si>
  <si>
    <t>Funding of Provisions</t>
  </si>
  <si>
    <t>Percentage Of Provisions Not Funded</t>
  </si>
  <si>
    <t>Unfunded Provisions/Total Provisions</t>
  </si>
  <si>
    <t>Other Indicators</t>
  </si>
  <si>
    <t>Borrowing Management</t>
  </si>
  <si>
    <t>Total Contract Value</t>
  </si>
  <si>
    <t>2004/05</t>
  </si>
  <si>
    <t>2003/04</t>
  </si>
  <si>
    <t>Audited Outcome</t>
  </si>
  <si>
    <t>Quarter ended 30 June</t>
  </si>
  <si>
    <t>Head35</t>
  </si>
  <si>
    <t>Quarter ended 30 September</t>
  </si>
  <si>
    <t>B</t>
  </si>
  <si>
    <t>Total Operating Revenue Implication</t>
  </si>
  <si>
    <t>Total Capital Expenditure Implication</t>
  </si>
  <si>
    <t>2. List all contracts with future financial obligations beyond the three years covered by the MTREF (MFMA s33)</t>
  </si>
  <si>
    <t>Overtime</t>
  </si>
  <si>
    <t>ASSETS</t>
  </si>
  <si>
    <t>Current assets</t>
  </si>
  <si>
    <t>Investments</t>
  </si>
  <si>
    <t>Current liabilities</t>
  </si>
  <si>
    <t>Provisions</t>
  </si>
  <si>
    <t>Head25</t>
  </si>
  <si>
    <t>fdil</t>
  </si>
  <si>
    <t>1. The format of the objectives are to be negotiated between the entity and the municipality</t>
  </si>
  <si>
    <t>Head5A</t>
  </si>
  <si>
    <t>Outcome</t>
  </si>
  <si>
    <t>Libraries</t>
  </si>
  <si>
    <t>2006/07</t>
  </si>
  <si>
    <t>Refuse</t>
  </si>
  <si>
    <t>Board Members of Entities</t>
  </si>
  <si>
    <t>Board Fees</t>
  </si>
  <si>
    <t>Forecast 2014/15</t>
  </si>
  <si>
    <t>Forecast 2015/16</t>
  </si>
  <si>
    <t>Forecast 2016/17</t>
  </si>
  <si>
    <t>Forecast 2017/18</t>
  </si>
  <si>
    <t>Forecast 2020/21</t>
  </si>
  <si>
    <t>Head28</t>
  </si>
  <si>
    <t>Result</t>
  </si>
  <si>
    <t>Accumulated Surplus/(Deficit)</t>
  </si>
  <si>
    <t>Ref</t>
  </si>
  <si>
    <t>Preceding Years</t>
  </si>
  <si>
    <t>Total Operating Expenditure Implication</t>
  </si>
  <si>
    <t>Total sources of capital funds</t>
  </si>
  <si>
    <t>Head48</t>
  </si>
  <si>
    <t>Estimate</t>
  </si>
  <si>
    <t>Contract 1</t>
  </si>
  <si>
    <t>Contract 2</t>
  </si>
  <si>
    <t>Contract 3 etc</t>
  </si>
  <si>
    <t>Loss on disposal of PPE</t>
  </si>
  <si>
    <t>Head1A</t>
  </si>
  <si>
    <t>A</t>
  </si>
  <si>
    <t>1. If benefits in kind are provided (e.g. provision of living quarters) the full market value must be shown as the cost to the municipality</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</si>
  <si>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</si>
  <si>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</si>
  <si>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</si>
  <si>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</si>
  <si>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</si>
  <si>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</si>
  <si>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</si>
  <si>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</si>
  <si>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</si>
  <si>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</si>
  <si>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</si>
  <si>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check</t>
  </si>
  <si>
    <t>Provincial Government</t>
  </si>
  <si>
    <t>District Municipality</t>
  </si>
  <si>
    <t>Column Definitions:</t>
  </si>
  <si>
    <t>D</t>
  </si>
  <si>
    <t>LTFS</t>
  </si>
  <si>
    <t>Expiry date of investment</t>
  </si>
  <si>
    <t>H</t>
  </si>
  <si>
    <t>I</t>
  </si>
  <si>
    <t>Other Managers</t>
  </si>
  <si>
    <t>Original Budget</t>
  </si>
  <si>
    <t>Debt impairment</t>
  </si>
  <si>
    <t>Quarter ended 31 December</t>
  </si>
  <si>
    <t>Quarter ended 31 March</t>
  </si>
  <si>
    <t>Head44</t>
  </si>
  <si>
    <t>Head45</t>
  </si>
  <si>
    <t>2001 Census</t>
  </si>
  <si>
    <t>1996 Census</t>
  </si>
  <si>
    <t>Electricity</t>
  </si>
  <si>
    <t>Year10</t>
  </si>
  <si>
    <t>TOTAL COMMUNITY WEALTH/EQUITY</t>
  </si>
  <si>
    <t>Head24</t>
  </si>
  <si>
    <t>Desc</t>
  </si>
  <si>
    <t>Downward adjusts</t>
  </si>
  <si>
    <t>Previous target year to complete</t>
  </si>
  <si>
    <t>Total non current assets</t>
  </si>
  <si>
    <t>Total current assets</t>
  </si>
  <si>
    <t>COMMUNITY WEALTH/EQUITY</t>
  </si>
  <si>
    <t>Head49</t>
  </si>
  <si>
    <t>Head50</t>
  </si>
  <si>
    <t>Virement</t>
  </si>
  <si>
    <t>Total Outstanding Debtors to Annual Revenue</t>
  </si>
  <si>
    <t>Current assets/current liabilities less debtors &gt; 90 days</t>
  </si>
  <si>
    <t>Current Ratio adjusted for debtors</t>
  </si>
  <si>
    <t>Common sheet headings</t>
  </si>
  <si>
    <t>Infrastructure</t>
  </si>
  <si>
    <t>Head47</t>
  </si>
  <si>
    <t>Head27a</t>
  </si>
  <si>
    <t>References</t>
  </si>
  <si>
    <t>Net cash from (used) financing</t>
  </si>
  <si>
    <t>Net cash from (used) operating</t>
  </si>
  <si>
    <t>Net cash from (used) investing</t>
  </si>
  <si>
    <t>Municipal Entities budget schedules</t>
  </si>
  <si>
    <t>i. Debt coverage</t>
  </si>
  <si>
    <t>iii. Cost coverage</t>
  </si>
  <si>
    <t>Forecast Financial Position</t>
  </si>
  <si>
    <t>Cash1</t>
  </si>
  <si>
    <t>Cash2</t>
  </si>
  <si>
    <t>Muni</t>
  </si>
  <si>
    <t>Head1B</t>
  </si>
  <si>
    <t>Head26</t>
  </si>
  <si>
    <t>Vote Description</t>
  </si>
  <si>
    <t>VDesc</t>
  </si>
  <si>
    <t>Head27</t>
  </si>
  <si>
    <t>Depreciation &amp; asset impairment</t>
  </si>
  <si>
    <t>Head55</t>
  </si>
  <si>
    <t>Borrowed funding of capital expenditure</t>
  </si>
  <si>
    <t>MEBsum</t>
  </si>
  <si>
    <t>Dividends</t>
  </si>
  <si>
    <t>R thousands</t>
  </si>
  <si>
    <t>Heritage assets</t>
  </si>
  <si>
    <t>Investment properties</t>
  </si>
  <si>
    <t>Other assets</t>
  </si>
  <si>
    <t>Remuneration</t>
  </si>
  <si>
    <t>Description</t>
  </si>
  <si>
    <t>YTD  Actual 31 Dec</t>
  </si>
  <si>
    <t>YTD  Budget 31 Dec</t>
  </si>
  <si>
    <t>MEB1</t>
  </si>
  <si>
    <t>MEB2</t>
  </si>
  <si>
    <t>MEB3</t>
  </si>
  <si>
    <t>MEB4</t>
  </si>
  <si>
    <t>MEB5</t>
  </si>
  <si>
    <t>MEB6</t>
  </si>
  <si>
    <t>Head2A</t>
  </si>
  <si>
    <t>Budget Cash Flow</t>
  </si>
  <si>
    <t>Forecast Cash Flow</t>
  </si>
  <si>
    <t>Expenditure includes repairs &amp; maintenance of R'000</t>
  </si>
  <si>
    <t>RandM</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</si>
  <si>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</si>
  <si>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</si>
  <si>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</si>
  <si>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</si>
  <si>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</si>
  <si>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</si>
  <si>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</si>
  <si>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</si>
  <si>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</si>
  <si>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</si>
  <si>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</si>
  <si>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</si>
  <si>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</si>
  <si>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</si>
  <si>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</si>
  <si>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</si>
  <si>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</si>
  <si>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MEB7</t>
  </si>
  <si>
    <t>Permanent employees</t>
  </si>
  <si>
    <t>Finance</t>
  </si>
  <si>
    <t>3. Refer municipal budget requirements</t>
  </si>
  <si>
    <t>Head57</t>
  </si>
  <si>
    <t xml:space="preserve">Month DD, YYYY - </t>
  </si>
  <si>
    <t>YearTD actual</t>
  </si>
  <si>
    <t>YearTD budget</t>
  </si>
  <si>
    <t>Other Staff of Entities</t>
  </si>
  <si>
    <t>Other</t>
  </si>
  <si>
    <t>check balance</t>
  </si>
  <si>
    <t>CASH FLOWS FROM INVESTING ACTIVITIES</t>
  </si>
  <si>
    <t>% increase</t>
  </si>
  <si>
    <t>Gearing</t>
  </si>
  <si>
    <t>Safety of Capital</t>
  </si>
  <si>
    <t>Liquidity</t>
  </si>
  <si>
    <t>Liquidity Ratio</t>
  </si>
  <si>
    <t>Head36</t>
  </si>
  <si>
    <t>Head37</t>
  </si>
  <si>
    <t>Head38</t>
  </si>
  <si>
    <t>CASH FLOWS FROM FINANCING ACTIVITIES</t>
  </si>
  <si>
    <t>Bank overdraft</t>
  </si>
  <si>
    <t>Budget</t>
  </si>
  <si>
    <t>Head39</t>
  </si>
  <si>
    <t>Monthly actual</t>
  </si>
  <si>
    <t>Financial Performance</t>
  </si>
  <si>
    <t>Standard nomenclature</t>
  </si>
  <si>
    <t>External mechanism</t>
  </si>
  <si>
    <t>Name of organisation</t>
  </si>
  <si>
    <t>Expiry date of service delivery agreement or contract</t>
  </si>
  <si>
    <t>1. Total period from commencement until end</t>
  </si>
  <si>
    <t>Service provided</t>
  </si>
  <si>
    <t>2. Annual value</t>
  </si>
  <si>
    <t>Information Technology</t>
  </si>
  <si>
    <t>Repairs &amp; Maintenance</t>
  </si>
  <si>
    <t>Employee costs/Total Revenue - capital revenue</t>
  </si>
  <si>
    <t>R&amp;M/Total Revenue - capital revenue</t>
  </si>
  <si>
    <t>Head29</t>
  </si>
  <si>
    <t>Head30</t>
  </si>
  <si>
    <t>Head31</t>
  </si>
  <si>
    <t>Head32</t>
  </si>
  <si>
    <t>Head33</t>
  </si>
  <si>
    <t>Head34</t>
  </si>
  <si>
    <t>Annual target 2007/08</t>
  </si>
  <si>
    <t>Revised target 2007/08</t>
  </si>
  <si>
    <t>Sub Total - Board Members of Entities</t>
  </si>
  <si>
    <t>Basis of calculation</t>
  </si>
  <si>
    <t>NET ASSETS</t>
  </si>
  <si>
    <t>TOTAL ASSETS</t>
  </si>
  <si>
    <t>Cash/cash equivalents at the year end:</t>
  </si>
  <si>
    <t>Borrowing</t>
  </si>
  <si>
    <t>July</t>
  </si>
  <si>
    <t>Head43</t>
  </si>
  <si>
    <t>YTD variance</t>
  </si>
  <si>
    <t>Cash</t>
  </si>
  <si>
    <t>Current portion of long-term receivables</t>
  </si>
  <si>
    <t>Trade and other payables</t>
  </si>
  <si>
    <t>(Total Operating Revenue - Operating Grants)/Debt service payments due within financial year)</t>
  </si>
  <si>
    <t>Notes</t>
  </si>
  <si>
    <t>Parent Municipality</t>
  </si>
  <si>
    <t>Head56</t>
  </si>
  <si>
    <t>Total Adjusts.</t>
  </si>
  <si>
    <t>% of Creditors Paid Within Terms (within MFMA s 65(e))</t>
  </si>
  <si>
    <t>ii. O/S Service Debtors to Revenue</t>
  </si>
  <si>
    <t>Long Term Borrowing / Funds &amp; Reserves</t>
  </si>
  <si>
    <t>Monetary Assets / Current Liabilities</t>
  </si>
  <si>
    <t>Current assets / current liabilities</t>
  </si>
  <si>
    <t>Last 12 Mths Receipts / Last 12 Mths Billing</t>
  </si>
  <si>
    <t>Debtors &gt; 12 Mths Recovered / Total Debtors &gt; 12 Months Old</t>
  </si>
  <si>
    <t>Years/months</t>
  </si>
  <si>
    <t>Capital Charges to Operating Expenditure</t>
  </si>
  <si>
    <t>Current Ratio</t>
  </si>
  <si>
    <t>(1) Delete if not an electricity entity</t>
  </si>
  <si>
    <t>Financial viability indicators</t>
  </si>
  <si>
    <t>(2) Delete if not an water entity</t>
  </si>
  <si>
    <t>Head51</t>
  </si>
  <si>
    <t>Head52</t>
  </si>
  <si>
    <t>Head53</t>
  </si>
  <si>
    <t>Head54</t>
  </si>
  <si>
    <t>Accum. Funds</t>
  </si>
  <si>
    <t>Other Adjusts.</t>
  </si>
  <si>
    <t>Unfore. Unavoid.</t>
  </si>
  <si>
    <t>Senior Managers of Entities</t>
  </si>
  <si>
    <t>Sub Total - Senior Managers of Entities</t>
  </si>
  <si>
    <t>Medium Term Revenue and Expenditure Framework</t>
  </si>
  <si>
    <t>Adjusted Budget</t>
  </si>
  <si>
    <t>Full Year Forecast</t>
  </si>
  <si>
    <t>Service charges - electricity revenue</t>
  </si>
  <si>
    <t>Service charges - water revenue</t>
  </si>
  <si>
    <t>Service charges - sanitation revenue</t>
  </si>
  <si>
    <t>CASH FLOW FROM OPERATING ACTIVITIES</t>
  </si>
  <si>
    <t>Cash/cash equivalents at the year begin:</t>
  </si>
  <si>
    <t>Interest earned - external investments</t>
  </si>
  <si>
    <t>Interest earned - outstanding debtors</t>
  </si>
  <si>
    <t>Licences and permits</t>
  </si>
  <si>
    <t>Gains on disposal of PPE</t>
  </si>
  <si>
    <t>Employee related costs</t>
  </si>
  <si>
    <t>Bulk purchases</t>
  </si>
  <si>
    <t>Contracted services</t>
  </si>
  <si>
    <t>Budgeted Financial Performance</t>
  </si>
  <si>
    <t>Forecast Financial Performance</t>
  </si>
  <si>
    <t>SFPerf1</t>
  </si>
  <si>
    <t>SFPerf2</t>
  </si>
  <si>
    <t>SFPos1</t>
  </si>
  <si>
    <t>SFPos2</t>
  </si>
  <si>
    <t>Budgeted Financial Position</t>
  </si>
  <si>
    <t>3. Include deferred tax and tax provisions</t>
  </si>
  <si>
    <t>Interest</t>
  </si>
  <si>
    <t>Summary of Employee and Board Member remuneration</t>
  </si>
  <si>
    <t>Dividends paid</t>
  </si>
  <si>
    <t>Decrease (increase) other non-current receivables</t>
  </si>
  <si>
    <t>Decrease (increase) in non-current investments</t>
  </si>
  <si>
    <t>NET CASH FROM/(USED) OPERATING ACTIVITIES</t>
  </si>
  <si>
    <t>NET CASH FROM/(USED) INVESTING ACTIVITIES</t>
  </si>
  <si>
    <t>NET CASH FROM/(USED) FINANCING ACTIVITIES</t>
  </si>
  <si>
    <t>MEB8</t>
  </si>
  <si>
    <t>Total Capital Funding</t>
  </si>
  <si>
    <t>Surplus/ (Deficit) for the year</t>
  </si>
  <si>
    <t>Receipts</t>
  </si>
  <si>
    <t>Payments</t>
  </si>
  <si>
    <t>Repayment of borrowing</t>
  </si>
  <si>
    <t>Short term loans</t>
  </si>
  <si>
    <t>NET INCREASE/ (DECREASE) IN CASH HELD</t>
  </si>
  <si>
    <t>Reserves</t>
  </si>
  <si>
    <t>Head1</t>
  </si>
  <si>
    <t>August</t>
  </si>
  <si>
    <t>Sept.</t>
  </si>
  <si>
    <t>October</t>
  </si>
  <si>
    <t>November</t>
  </si>
  <si>
    <t>December</t>
  </si>
  <si>
    <t>January</t>
  </si>
  <si>
    <t>February</t>
  </si>
  <si>
    <t>March</t>
  </si>
  <si>
    <t>April</t>
  </si>
  <si>
    <t>May</t>
  </si>
  <si>
    <t>June</t>
  </si>
  <si>
    <t>Other materials</t>
  </si>
  <si>
    <t>Dividends received</t>
  </si>
  <si>
    <t>Proceeds on disposal of PPE</t>
  </si>
  <si>
    <t>Head46</t>
  </si>
  <si>
    <t>Capital expenditure &amp; funds sources</t>
  </si>
  <si>
    <t>Property rates</t>
  </si>
  <si>
    <t>Head2</t>
  </si>
  <si>
    <t>Head3</t>
  </si>
  <si>
    <t>Head4</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</si>
  <si>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</si>
  <si>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</si>
  <si>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</si>
  <si>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</si>
  <si>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</si>
  <si>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</si>
  <si>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</si>
  <si>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</si>
  <si>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</si>
  <si>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</si>
  <si>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</si>
  <si>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</si>
  <si>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</si>
  <si>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</si>
  <si>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</si>
  <si>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</si>
  <si>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</si>
  <si>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</si>
  <si>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</si>
  <si>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</si>
  <si>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2. Bulk purchases - electricity</t>
  </si>
  <si>
    <t>Borrowing long term/refinancing</t>
  </si>
  <si>
    <t>MEB10</t>
  </si>
  <si>
    <t>MEB11</t>
  </si>
  <si>
    <t>Performance target description</t>
  </si>
  <si>
    <t>Description of indicator</t>
  </si>
  <si>
    <t>Total Municipal Entities remuneration</t>
  </si>
  <si>
    <t>Transfers recognised - capital</t>
  </si>
  <si>
    <t>A. Audited actual for prior year (3 years before current year) as per the audited financial statements</t>
  </si>
  <si>
    <t>B. Audited actual for prior year (2 years before current year) as per the audited financial statements</t>
  </si>
  <si>
    <t>C. Audited actual for prior year (1 year before current year) as per the audited financial statements</t>
  </si>
  <si>
    <t>D. The original budget approved by council for the current year</t>
  </si>
  <si>
    <t>G. The amount to be appropriated for the budget year</t>
  </si>
  <si>
    <t>F. An estimate of final actual amounts (pre audit) for the current year at the point in time of preparing the next MTREF. This may differ from E</t>
  </si>
  <si>
    <t>E. The budget for current year as adjusted by council resolution in terms of section 28 of the MFMA</t>
  </si>
  <si>
    <t>H. The indicative projection for the 2nd year of the MTREF</t>
  </si>
  <si>
    <t>I. The indicative projection for the 3rd year of the MTREF</t>
  </si>
  <si>
    <t>1. Must reconcile with budget table D5</t>
  </si>
  <si>
    <t>2. Must reconcile with budget table D6</t>
  </si>
  <si>
    <t>Prior Adjusted</t>
  </si>
  <si>
    <t>Service charges</t>
  </si>
  <si>
    <t>Rental of facilities and equipment</t>
  </si>
  <si>
    <t>Head5B</t>
  </si>
  <si>
    <t>Pre-audit outcome</t>
  </si>
  <si>
    <t>Head58</t>
  </si>
  <si>
    <t>Parent muni.</t>
  </si>
  <si>
    <t>Head59</t>
  </si>
  <si>
    <t>Head3A</t>
  </si>
  <si>
    <t>TOTAL LIABILITIES</t>
  </si>
  <si>
    <t>MEB1A</t>
  </si>
  <si>
    <t>Longstanding Debtors Reduction Due To Recovery</t>
  </si>
  <si>
    <t>Creditors Management</t>
  </si>
  <si>
    <t>Creditors System Efficiency</t>
  </si>
  <si>
    <t xml:space="preserve">Entity Financial Performance Bugdet (Revenue &amp; Expenditure by Municipal Vote) - </t>
  </si>
  <si>
    <t>Names</t>
  </si>
  <si>
    <t>Calculation data</t>
  </si>
  <si>
    <t>Finance charges &amp; Depreciation / Operating Expenditure</t>
  </si>
  <si>
    <t>Debt</t>
  </si>
  <si>
    <t>Debtors &gt; 90 days</t>
  </si>
  <si>
    <t>Monetary current assets</t>
  </si>
  <si>
    <t>Last 12 months receipts</t>
  </si>
  <si>
    <t>Last 12 months billing</t>
  </si>
  <si>
    <t>Outstanding debtors</t>
  </si>
  <si>
    <t>Repairs and maintenance</t>
  </si>
  <si>
    <t>Total Operating Revenue - Operating Grants</t>
  </si>
  <si>
    <t>Debt service payments due within financial year</t>
  </si>
  <si>
    <t>Outstanding service debtors</t>
  </si>
  <si>
    <t>Annual revenue received for services</t>
  </si>
  <si>
    <t>Cash and investments</t>
  </si>
  <si>
    <t>Fixed operational percentage estimate</t>
  </si>
  <si>
    <t>Monthly fixed operational expenditure</t>
  </si>
  <si>
    <t>Grants:</t>
  </si>
  <si>
    <t>National - opex</t>
  </si>
  <si>
    <t>Provincial - opex</t>
  </si>
  <si>
    <t>National - capex</t>
  </si>
  <si>
    <t>Provincial - capex</t>
  </si>
  <si>
    <t>2005/06</t>
  </si>
  <si>
    <t>2007/08</t>
  </si>
  <si>
    <t>2008/09</t>
  </si>
  <si>
    <t xml:space="preserve">  Equitable share</t>
  </si>
  <si>
    <t xml:space="preserve">  Health subsidy</t>
  </si>
  <si>
    <t xml:space="preserve">  Municipal Infrastructure (MIG)</t>
  </si>
  <si>
    <t xml:space="preserve">  Levy replacement</t>
  </si>
  <si>
    <t xml:space="preserve">  Ambulance subsidy</t>
  </si>
  <si>
    <t xml:space="preserve">  Public Transport</t>
  </si>
  <si>
    <t xml:space="preserve">  Finance Management</t>
  </si>
  <si>
    <t xml:space="preserve">  Housing</t>
  </si>
  <si>
    <t xml:space="preserve">  Public Works</t>
  </si>
  <si>
    <t>Current Year 2006/07</t>
  </si>
  <si>
    <t>Current Year 2007/08</t>
  </si>
  <si>
    <t>Current Year 2008/09</t>
  </si>
  <si>
    <t xml:space="preserve">  Municipal Systems Improvement</t>
  </si>
  <si>
    <t xml:space="preserve">  Sports and Recreation</t>
  </si>
  <si>
    <t xml:space="preserve">  Sport and Recreation</t>
  </si>
  <si>
    <t xml:space="preserve">  Restructuring</t>
  </si>
  <si>
    <t xml:space="preserve">  Water Affairs</t>
  </si>
  <si>
    <t>2007/08 Medium Term Revenue &amp; Expenditure Framework</t>
  </si>
  <si>
    <t>2008/09 Medium Term Revenue &amp; Expenditure Framework</t>
  </si>
  <si>
    <t>2009/10 Medium Term Revenue &amp; Expenditure Framework</t>
  </si>
  <si>
    <t xml:space="preserve">  Department of Water Affairs</t>
  </si>
  <si>
    <t>Budget Year 2007/08</t>
  </si>
  <si>
    <t>Budget Year 2008/09</t>
  </si>
  <si>
    <t>Budget Year 2009/10</t>
  </si>
  <si>
    <t>Budget Year +1 2008/09</t>
  </si>
  <si>
    <t>Budget Year +1 2009/10</t>
  </si>
  <si>
    <t>Budget Year +1 2010/11</t>
  </si>
  <si>
    <t>Budget Year +2 2009/10</t>
  </si>
  <si>
    <t>Budget Year +2 2010/11</t>
  </si>
  <si>
    <t>Budget Year +2 2011/12</t>
  </si>
  <si>
    <t>Forecast 2022/23</t>
  </si>
  <si>
    <t>Forecast 2023/24</t>
  </si>
  <si>
    <t>Adjustments Budget</t>
  </si>
  <si>
    <t>Annual target 2008/09</t>
  </si>
  <si>
    <t>Annual target 2009/10</t>
  </si>
  <si>
    <t>Revised target 2008/09</t>
  </si>
  <si>
    <t>Revised target 2009/10</t>
  </si>
  <si>
    <t>Prior year -1</t>
  </si>
  <si>
    <t>Prior year -2</t>
  </si>
  <si>
    <t>Prior year -3</t>
  </si>
  <si>
    <t>Year in which budget is being prepared</t>
  </si>
  <si>
    <t>MTREF name</t>
  </si>
  <si>
    <t>1st year of MTREF</t>
  </si>
  <si>
    <t>2nd year of MTREF</t>
  </si>
  <si>
    <t>3rd year of MTREF</t>
  </si>
  <si>
    <t>1st yr of long term forecast</t>
  </si>
  <si>
    <t>Next yr of long term forecast</t>
  </si>
  <si>
    <t>NOTE: This sheet should not be directly amended - select headings from sheet 'Start'</t>
  </si>
  <si>
    <t xml:space="preserve">Table D1 </t>
  </si>
  <si>
    <t xml:space="preserve">Table D2 </t>
  </si>
  <si>
    <t xml:space="preserve">Table D3 </t>
  </si>
  <si>
    <t xml:space="preserve">Table D4 </t>
  </si>
  <si>
    <t xml:space="preserve">Table D5 </t>
  </si>
  <si>
    <t>Total Revenue (excluding capital transfers and contributions)</t>
  </si>
  <si>
    <t>Reticulation</t>
  </si>
  <si>
    <t>Summary of Personnel Numbers</t>
  </si>
  <si>
    <t>Number</t>
  </si>
  <si>
    <t>Positions</t>
  </si>
  <si>
    <t>Contract employees</t>
  </si>
  <si>
    <t>Municipal Council and Boards of Municipal Entities</t>
  </si>
  <si>
    <t>Councillors (Political Office Bearers plus Other Councillors)</t>
  </si>
  <si>
    <t>Board Members of municipal entities</t>
  </si>
  <si>
    <t>Professionals</t>
  </si>
  <si>
    <t>Spatial/town planning</t>
  </si>
  <si>
    <t>Roads</t>
  </si>
  <si>
    <t>Technicians</t>
  </si>
  <si>
    <t>Clerks (Clerical and administrative)</t>
  </si>
  <si>
    <t>Service and sales workers</t>
  </si>
  <si>
    <t>Skilled agricultural and fishery workers</t>
  </si>
  <si>
    <t>Craft and related trades</t>
  </si>
  <si>
    <t>Plant and Machine Operators</t>
  </si>
  <si>
    <t>Elementary Occupations</t>
  </si>
  <si>
    <t>Finance personnel headcount</t>
  </si>
  <si>
    <t>Human Resources personnel headcount</t>
  </si>
  <si>
    <t>1. Full Time Equivalent (FTE). E.g. One full time person = 1FTE. A person working half time (say 4 hours out of 8) = 0.5FTE.</t>
  </si>
  <si>
    <t>2. s57 of the Systems Act</t>
  </si>
  <si>
    <t>3. Include only in Consolidated Statements</t>
  </si>
  <si>
    <t>4. Include municipal entity employees in Consolidated Statements</t>
  </si>
  <si>
    <t>5. Include headcount (number fo persons, Not FTE) of managers and staff only (exclude councillors)</t>
  </si>
  <si>
    <t>6. Managers who provide the direction of a critical technical function</t>
  </si>
  <si>
    <t>7. Total number of employees working on these functions</t>
  </si>
  <si>
    <t>Total entity employees headcount</t>
  </si>
  <si>
    <t>Contributions recognised - capital &amp; contributed assets</t>
  </si>
  <si>
    <t>Surplus/(Deficit) after capital transfers &amp; contributions</t>
  </si>
  <si>
    <t>Other benefits and allowances</t>
  </si>
  <si>
    <t xml:space="preserve">Bulk purchases </t>
  </si>
  <si>
    <t>4. Previously described as 'bad or doubtful debts' - amounts shown should reflect the change in the provision for debt impairment</t>
  </si>
  <si>
    <t>5. All materials not part of 'bulk' e.g  road making materials, pipe, cable etc.</t>
  </si>
  <si>
    <t>3. Expenditure includes repairs &amp; maintenance of:</t>
  </si>
  <si>
    <t>1. Municipalities may choose to appropriate for capital expenditure for three years or for one year (if one year appropriation projected expenditure required for yr2 and yr3).</t>
  </si>
  <si>
    <t xml:space="preserve">2. Include capital component of PPP unitary payment. </t>
  </si>
  <si>
    <t>3. Include finance leases and PPP capital funding component of unitary payment</t>
  </si>
  <si>
    <t>4. Total Capital Funding must balance with Total Capital Expenditure</t>
  </si>
  <si>
    <t>1. Include 'Construction-work-in-progress' (disclosed separately in annual financial statements)</t>
  </si>
  <si>
    <t>2. Net assets must balance with Total Community Wealth/Equity</t>
  </si>
  <si>
    <t>2. Cash equivalents includes investments with maturities of 3 months or less</t>
  </si>
  <si>
    <t>1. The end balance of Cash/cash equivalents must reconcile to detail in Table SD6</t>
  </si>
  <si>
    <t>Yes</t>
  </si>
  <si>
    <t>No</t>
  </si>
  <si>
    <t>Type of Entities Range:</t>
  </si>
  <si>
    <t>Parent Municapality</t>
  </si>
  <si>
    <t>Consolidated Information</t>
  </si>
  <si>
    <t>MTREF Range:</t>
  </si>
  <si>
    <t>MTREF Linked:</t>
  </si>
  <si>
    <t>MTREF:</t>
  </si>
  <si>
    <t>Fin Year:</t>
  </si>
  <si>
    <t xml:space="preserve">Supporting Table SD1 </t>
  </si>
  <si>
    <t>Supporting Table SD2</t>
  </si>
  <si>
    <t>Supporting Table SD3</t>
  </si>
  <si>
    <t>Supporting Table SD4</t>
  </si>
  <si>
    <t>Supporting Table SD5</t>
  </si>
  <si>
    <t>Supporting Table SD6</t>
  </si>
  <si>
    <t>Supporting Table SD9</t>
  </si>
  <si>
    <t>Supporting Table SD10</t>
  </si>
  <si>
    <t>Supporting Table SD11</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</si>
  <si>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</si>
  <si>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</si>
  <si>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</si>
  <si>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</si>
  <si>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</si>
  <si>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</si>
  <si>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</si>
  <si>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</si>
  <si>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</si>
  <si>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</si>
  <si>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</si>
  <si>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</si>
  <si>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</si>
  <si>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</si>
  <si>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</si>
  <si>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</si>
  <si>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</si>
  <si>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</si>
  <si>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</si>
  <si>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</si>
  <si>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</si>
  <si>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</si>
  <si>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</si>
  <si>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</si>
  <si>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</si>
  <si>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</si>
  <si>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</si>
  <si>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</si>
  <si>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</si>
  <si>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</si>
  <si>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</si>
  <si>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</si>
  <si>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</si>
  <si>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</si>
  <si>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</si>
  <si>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</si>
  <si>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</si>
  <si>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</si>
  <si>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</si>
  <si>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</si>
  <si>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</si>
  <si>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</si>
  <si>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</si>
  <si>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</si>
  <si>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</si>
  <si>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</si>
  <si>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</si>
  <si>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</si>
  <si>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</si>
  <si>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</si>
  <si>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</si>
  <si>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</si>
  <si>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</si>
  <si>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</si>
  <si>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</si>
  <si>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</si>
  <si>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</si>
  <si>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</si>
  <si>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</si>
  <si>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</si>
  <si>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</si>
  <si>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</si>
  <si>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</si>
  <si>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</si>
  <si>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</si>
  <si>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</si>
  <si>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</si>
  <si>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</si>
  <si>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</si>
  <si>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</si>
  <si>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</si>
  <si>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</si>
  <si>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</si>
  <si>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</si>
  <si>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</si>
  <si>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</si>
  <si>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</si>
  <si>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</si>
  <si>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</si>
  <si>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</si>
  <si>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</si>
  <si>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</si>
  <si>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</si>
  <si>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</si>
  <si>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</si>
  <si>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</si>
  <si>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</si>
  <si>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</si>
  <si>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</si>
  <si>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</si>
  <si>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</si>
  <si>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</si>
  <si>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</si>
  <si>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</si>
  <si>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</si>
  <si>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</si>
  <si>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KZN245 Umvoti</t>
  </si>
  <si>
    <t>KZN252 Newcastle</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</si>
  <si>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</si>
  <si>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</si>
  <si>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</si>
  <si>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</si>
  <si>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</si>
  <si>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</si>
  <si>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</si>
  <si>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</si>
  <si>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</si>
  <si>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</si>
  <si>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</si>
  <si>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</si>
  <si>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</si>
  <si>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</si>
  <si>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</si>
  <si>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</si>
  <si>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</si>
  <si>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</si>
  <si>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</si>
  <si>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</si>
  <si>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</si>
  <si>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</si>
  <si>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</si>
  <si>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</si>
  <si>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</si>
  <si>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</si>
  <si>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</si>
  <si>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</si>
  <si>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</si>
  <si>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</si>
  <si>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</si>
  <si>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</si>
  <si>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</si>
  <si>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</si>
  <si>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</si>
  <si>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</si>
  <si>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</si>
  <si>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</si>
  <si>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</si>
  <si>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</si>
  <si>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</si>
  <si>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</si>
  <si>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</si>
  <si>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</si>
  <si>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</si>
  <si>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</si>
  <si>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</si>
  <si>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</si>
  <si>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</si>
  <si>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</si>
  <si>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</si>
  <si>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</si>
  <si>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</si>
  <si>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</si>
  <si>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</si>
  <si>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</si>
  <si>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</si>
  <si>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</si>
  <si>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</si>
  <si>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</si>
  <si>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</si>
  <si>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</si>
  <si>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</si>
  <si>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</si>
  <si>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</si>
  <si>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</si>
  <si>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</si>
  <si>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</si>
  <si>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</si>
  <si>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</si>
  <si>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</si>
  <si>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</si>
  <si>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</si>
  <si>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</si>
  <si>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</si>
  <si>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</si>
  <si>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</si>
  <si>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</si>
  <si>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</si>
  <si>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</si>
  <si>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</si>
  <si>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</si>
  <si>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</si>
  <si>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</si>
  <si>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</si>
  <si>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</si>
  <si>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</si>
  <si>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</si>
  <si>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</si>
  <si>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</si>
  <si>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</si>
  <si>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</si>
  <si>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</si>
  <si>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</si>
  <si>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</si>
  <si>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</si>
  <si>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</si>
  <si>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</si>
  <si>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</si>
  <si>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</si>
  <si>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</si>
  <si>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</si>
  <si>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</si>
  <si>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</si>
  <si>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</si>
  <si>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</si>
  <si>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</si>
  <si>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</si>
  <si>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</si>
  <si>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</si>
  <si>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</si>
  <si>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Borrowing/Capital expenditure excl. transfers and grants and contributions</t>
  </si>
  <si>
    <t>Transfers and Grants</t>
  </si>
  <si>
    <t>Increase (decrease) in consumer deposits</t>
  </si>
  <si>
    <t>Service charges - refuse revenue</t>
  </si>
  <si>
    <t>MEB5a</t>
  </si>
  <si>
    <t>MEB5b</t>
  </si>
  <si>
    <t>MEB9a</t>
  </si>
  <si>
    <t>MEB9b</t>
  </si>
  <si>
    <t>MEB9c</t>
  </si>
  <si>
    <t>MEB12</t>
  </si>
  <si>
    <t>MEB13</t>
  </si>
  <si>
    <t>Supporting Table SD7a</t>
  </si>
  <si>
    <t>Supporting Table SD7b</t>
  </si>
  <si>
    <t>Supporting Table SD7c</t>
  </si>
  <si>
    <t>Supporting Table SD8</t>
  </si>
  <si>
    <t>Total capital expenditure on renewal of existing assets</t>
  </si>
  <si>
    <t>Municipal entity employees</t>
  </si>
  <si>
    <t>CEO and Senior Managers</t>
  </si>
  <si>
    <t>Total Personnel Numbers</t>
  </si>
  <si>
    <r>
      <t xml:space="preserve">Monetary value of agreement 
</t>
    </r>
    <r>
      <rPr>
        <sz val="8"/>
        <rFont val="Arial Narrow"/>
        <family val="2"/>
      </rPr>
      <t>2</t>
    </r>
  </si>
  <si>
    <r>
      <t xml:space="preserve">Period of agreement 
</t>
    </r>
    <r>
      <rPr>
        <sz val="8"/>
        <rFont val="Arial Narrow"/>
        <family val="2"/>
      </rPr>
      <t>1</t>
    </r>
  </si>
  <si>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</si>
  <si>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</si>
  <si>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</si>
  <si>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</si>
  <si>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</si>
  <si>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</si>
  <si>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</si>
  <si>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</si>
  <si>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</si>
  <si>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</si>
  <si>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</si>
  <si>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</si>
  <si>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BUF Buffalo City</t>
  </si>
  <si>
    <t>NMA Nelson Mandela Bay</t>
  </si>
  <si>
    <t>EC443 Mbizana</t>
  </si>
  <si>
    <t>EC444 Ntabankulu</t>
  </si>
  <si>
    <t>MAN Mangaung</t>
  </si>
  <si>
    <t>FS196 Mantsopa</t>
  </si>
  <si>
    <t>JHB City Of Johannesburg</t>
  </si>
  <si>
    <t>TSH City Of Tshwane</t>
  </si>
  <si>
    <t>ETH eThekwini</t>
  </si>
  <si>
    <t>DC43 Harry Gwala</t>
  </si>
  <si>
    <t>DC47 Sekhukhune</t>
  </si>
  <si>
    <t>MP312 Emalahleni (Mp)</t>
  </si>
  <si>
    <t>MP315 Thembisile Hani</t>
  </si>
  <si>
    <t>DC7 Pixley Ka Seme (Nc)</t>
  </si>
  <si>
    <t>CPT Cape Town</t>
  </si>
  <si>
    <t>DC2 Cape Winelands DM</t>
  </si>
  <si>
    <t>Other non-current assets</t>
  </si>
  <si>
    <t>Insert measure/s description</t>
  </si>
  <si>
    <t>Pension and UIF Contributions</t>
  </si>
  <si>
    <t>Payments in lieu of leave</t>
  </si>
  <si>
    <t>Long service awards</t>
  </si>
  <si>
    <t>Post-retirement benefit obligations</t>
  </si>
  <si>
    <t>Basic Salaries and Wages</t>
  </si>
  <si>
    <t>R thousand</t>
  </si>
  <si>
    <t>Capital expenditure on new assets by Asset Class/Sub-class</t>
  </si>
  <si>
    <t>Repairs and maintenance expenditure by Asset Class/Sub-class</t>
  </si>
  <si>
    <t>Capital expenditure on renewal of existing assets by Asset Class/Sub-class</t>
  </si>
  <si>
    <t>Capital expenditure by Asset Class/Sub-class</t>
  </si>
  <si>
    <t>Investment in Associate</t>
  </si>
  <si>
    <t>Biological</t>
  </si>
  <si>
    <t>Intangible</t>
  </si>
  <si>
    <t>Total capital expenditure on assets</t>
  </si>
  <si>
    <t>Total expenditure on repairs and maintenance of assets</t>
  </si>
  <si>
    <t>Motor Vehicle Allowance</t>
  </si>
  <si>
    <t>Cellphone Allowance</t>
  </si>
  <si>
    <t>Housing Allowances</t>
  </si>
  <si>
    <t>Total Capital Expenditure</t>
  </si>
  <si>
    <t>DC10 Sarah Baartman</t>
  </si>
  <si>
    <t>EC136 Emalahleni (Ec)</t>
  </si>
  <si>
    <t>DC8 Z F Mgcawu</t>
  </si>
  <si>
    <t>NW397 Kagisano-Molopo</t>
  </si>
  <si>
    <t>EC129 Raymond Mhlaba</t>
  </si>
  <si>
    <t>EC139 Enoch Mgijima</t>
  </si>
  <si>
    <t>EC145 Walter Sisulu</t>
  </si>
  <si>
    <t>KZN237 Inkosi Langalibalele</t>
  </si>
  <si>
    <t>KZN238 Alfred Duma</t>
  </si>
  <si>
    <t>DC28 King Cetshwayo</t>
  </si>
  <si>
    <t>KZN436 Dr Nkosazana Dlamini Zuma</t>
  </si>
  <si>
    <t>MP326 City of Mbombela</t>
  </si>
  <si>
    <t>KZN216 Ray Nkonyeni</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</si>
  <si>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</si>
  <si>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</si>
  <si>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</si>
  <si>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</si>
  <si>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</si>
  <si>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</si>
  <si>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</si>
  <si>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</si>
  <si>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</si>
  <si>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</si>
  <si>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</si>
  <si>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</si>
  <si>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</si>
  <si>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</si>
  <si>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</si>
  <si>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</si>
  <si>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</si>
  <si>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</si>
  <si>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</si>
  <si>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</si>
  <si>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</si>
  <si>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</si>
  <si>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</si>
  <si>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</si>
  <si>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</si>
  <si>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</si>
  <si>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</si>
  <si>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</si>
  <si>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</si>
  <si>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</si>
  <si>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</si>
  <si>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</si>
  <si>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</si>
  <si>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</si>
  <si>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</si>
  <si>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</si>
  <si>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</si>
  <si>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</si>
  <si>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</si>
  <si>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</si>
  <si>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</si>
  <si>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</si>
  <si>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</si>
  <si>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</si>
  <si>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</si>
  <si>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</si>
  <si>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</si>
  <si>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</si>
  <si>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</si>
  <si>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</si>
  <si>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</si>
  <si>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</si>
  <si>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</si>
  <si>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</si>
  <si>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</si>
  <si>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</si>
  <si>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</si>
  <si>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Assets</t>
  </si>
  <si>
    <t>Community Facilities</t>
  </si>
  <si>
    <t>Halls</t>
  </si>
  <si>
    <t>Centres</t>
  </si>
  <si>
    <t>Crèches</t>
  </si>
  <si>
    <t>Clinics/Care Centres</t>
  </si>
  <si>
    <t>Fire/Ambulance Stations</t>
  </si>
  <si>
    <t>Testing Stations</t>
  </si>
  <si>
    <t>Museums</t>
  </si>
  <si>
    <t>Galleries</t>
  </si>
  <si>
    <t>Theatres</t>
  </si>
  <si>
    <t>Cemeteries/Crematoria</t>
  </si>
  <si>
    <t>Police</t>
  </si>
  <si>
    <t>Public Open Space</t>
  </si>
  <si>
    <t>Nature Reserves</t>
  </si>
  <si>
    <t>Public Ablution Facilities</t>
  </si>
  <si>
    <t>Stalls</t>
  </si>
  <si>
    <t>Airports</t>
  </si>
  <si>
    <t>Taxi Ranks/Bus Terminals</t>
  </si>
  <si>
    <t>Sport and Recreation Facilities</t>
  </si>
  <si>
    <t>Indoor Facilities</t>
  </si>
  <si>
    <t>Outdoor Facilities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</si>
  <si>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</si>
  <si>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</si>
  <si>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</si>
  <si>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</si>
  <si>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</si>
  <si>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</si>
  <si>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</si>
  <si>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</si>
  <si>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</si>
  <si>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</si>
  <si>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</si>
  <si>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</si>
  <si>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</si>
  <si>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</si>
  <si>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</si>
  <si>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</si>
  <si>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</si>
  <si>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</si>
  <si>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</si>
  <si>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</si>
  <si>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Housing</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</si>
  <si>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</si>
  <si>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</si>
  <si>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</si>
  <si>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</si>
  <si>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</si>
  <si>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</si>
  <si>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</si>
  <si>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</si>
  <si>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</si>
  <si>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</si>
  <si>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</si>
  <si>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</si>
  <si>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</si>
  <si>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</si>
  <si>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</si>
  <si>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</si>
  <si>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</si>
  <si>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 xml:space="preserve">Total Capital Expenditure on new assets </t>
  </si>
  <si>
    <t>Capital expenditure on upgrading of existing assets by Asset Class/Sub-class</t>
  </si>
  <si>
    <t>Total capital expenditure on upgrading of existing assets</t>
  </si>
  <si>
    <t>Depreciation by Asset Class/Sub-class</t>
  </si>
  <si>
    <t>Total Depreciation by Asset Class/Sub-class</t>
  </si>
  <si>
    <t>MEB9d</t>
  </si>
  <si>
    <t>MEB9e</t>
  </si>
  <si>
    <t>Supporting Table SD7d</t>
  </si>
  <si>
    <t>Supporting Table SD7e</t>
  </si>
  <si>
    <t>1. Total Capital Expenditure on new assets (SD7a) plus Total Capital Expenditure on renewal of existing assets (SD7b) plus Total Capital Expenditure  on upgrading of existing assets (SD7e) must reconcile to total capital expenditure in Budgeted Capital Expenditure</t>
  </si>
  <si>
    <t>Transfers recognised - operational</t>
  </si>
  <si>
    <t>Remuneration of councillors</t>
  </si>
  <si>
    <t>Transfers and grants</t>
  </si>
  <si>
    <t>Land</t>
  </si>
  <si>
    <t>EC101 Dr Beyers Naude</t>
  </si>
  <si>
    <t>EKU City of Ekurhuleni</t>
  </si>
  <si>
    <t>GT485 Rand West City</t>
  </si>
  <si>
    <t>KZN253 Emadlangeni</t>
  </si>
  <si>
    <t>KZN276 Hlabisa Big Five</t>
  </si>
  <si>
    <t>LIM345 Collins Chabane</t>
  </si>
  <si>
    <t>LIM368 Modimolle-Mookgopong</t>
  </si>
  <si>
    <t>LIM476 Tubatse Fetakgomo</t>
  </si>
  <si>
    <t>NC087 Dawid Kruiper</t>
  </si>
  <si>
    <t>NW405 J B Marks</t>
  </si>
  <si>
    <t>Finance charges &amp; Depreciation</t>
  </si>
  <si>
    <t>FC&amp;D/(Total Revenue - capital revenue)</t>
  </si>
  <si>
    <t>Credit Rating</t>
  </si>
  <si>
    <t>Function</t>
  </si>
  <si>
    <t>Project Description</t>
  </si>
  <si>
    <t>Project Number</t>
  </si>
  <si>
    <t>Type</t>
  </si>
  <si>
    <t>MTSF Service Outcome</t>
  </si>
  <si>
    <t>IUDF</t>
  </si>
  <si>
    <t>Own Strategic Objectives</t>
  </si>
  <si>
    <t>Asset Class</t>
  </si>
  <si>
    <t>Asset Sub-Class</t>
  </si>
  <si>
    <t>Ward Location</t>
  </si>
  <si>
    <t>GPS Longitude</t>
  </si>
  <si>
    <t>GPS Lattitude</t>
  </si>
  <si>
    <t>Entities:</t>
  </si>
  <si>
    <t>List all capital projects grouped by Entity</t>
  </si>
  <si>
    <t>Entity A</t>
  </si>
  <si>
    <t>Water project A</t>
  </si>
  <si>
    <t>Entity B</t>
  </si>
  <si>
    <t>Electricity project B</t>
  </si>
  <si>
    <t>Entity Capital expenditure</t>
  </si>
  <si>
    <t>1,3</t>
  </si>
  <si>
    <t>Revenue Obligation By Contract</t>
  </si>
  <si>
    <t>Expenditure Obligation By Contract</t>
  </si>
  <si>
    <t>Capital Expenditure Obligation By Contract</t>
  </si>
  <si>
    <t>Total Entity Expenditure Implication</t>
  </si>
  <si>
    <t>1. Total implication for all preceding years to be summed and total stated in 'Preceding Years' column</t>
  </si>
  <si>
    <t>3. For entities with approved total revenue not exceeding R250 m - all contracts with an annual cost greater than R500 000. For entities with approved total revenue greater than R250 m - all contracts with an annual cost greater than R1million. For entities with approved total revenue greater than R500 m - all contracts with an annual cost greater than R5 million</t>
  </si>
  <si>
    <t>Operating Revenue By Source</t>
  </si>
  <si>
    <t>Operating Expenditure By Type</t>
  </si>
  <si>
    <t>Parks</t>
  </si>
  <si>
    <t xml:space="preserve">Total capital expenditure </t>
  </si>
  <si>
    <t>Investments by Maturity</t>
  </si>
  <si>
    <t>Period of Investment</t>
  </si>
  <si>
    <t>Type of Investment</t>
  </si>
  <si>
    <t>Capital Guarantee
(Yes/ No)</t>
  </si>
  <si>
    <t>Variable or Fixed interest rate</t>
  </si>
  <si>
    <t>Commission Paid (Rands)</t>
  </si>
  <si>
    <t>Commission Recipient</t>
  </si>
  <si>
    <t>Opening balance</t>
  </si>
  <si>
    <t>Interest to be realised</t>
  </si>
  <si>
    <t>Investment Top Up</t>
  </si>
  <si>
    <t>Closing Balance</t>
  </si>
  <si>
    <t>Name of institution &amp; investment ID</t>
  </si>
  <si>
    <t>Yrs/Months</t>
  </si>
  <si>
    <t xml:space="preserve">Interest Rate </t>
  </si>
  <si>
    <t>Partial / Premature Withdrawal</t>
  </si>
  <si>
    <t>1. List investments in expiry date order</t>
  </si>
  <si>
    <t>2. If 'variable' is selected in column F, input interest rate range</t>
  </si>
  <si>
    <t>3. Withdrawals to be entered as negative</t>
  </si>
  <si>
    <t>Current Debtors Collection Rate (Cash receipts % of Ratepayer &amp; Other revenue)</t>
  </si>
  <si>
    <t>Creditors to Cash and Investments</t>
  </si>
  <si>
    <t>Electricity Distribution Losses (2)</t>
  </si>
  <si>
    <r>
      <t>Total Volume Losses (kW</t>
    </r>
    <r>
      <rPr>
        <sz val="8"/>
        <rFont val="Arial Narrow"/>
        <family val="2"/>
      </rPr>
      <t>)</t>
    </r>
  </si>
  <si>
    <t>Total Cost of Losses (Rand '000)</t>
  </si>
  <si>
    <t>% Volume (units purchased and generated less units sold)/units purchased and generated</t>
  </si>
  <si>
    <t>Water Distribution Losses (2)</t>
  </si>
  <si>
    <t>Total Volume Losses (kℓ)</t>
  </si>
  <si>
    <t>Total remuneration/(Total Revenue - capital revenue)</t>
  </si>
  <si>
    <t>Outstanding creditors</t>
  </si>
  <si>
    <t>Lists</t>
  </si>
  <si>
    <t>&lt;1</t>
  </si>
  <si>
    <t>&lt;4</t>
  </si>
  <si>
    <t>Market</t>
  </si>
  <si>
    <t>Land &amp; impr.</t>
  </si>
  <si>
    <t>Uniform</t>
  </si>
  <si>
    <t>Yrs</t>
  </si>
  <si>
    <t>Local Government Equitable Share</t>
  </si>
  <si>
    <t>Health subsidy</t>
  </si>
  <si>
    <t xml:space="preserve"> Municipal Infrastructure Grant (MIG)</t>
  </si>
  <si>
    <t>Agriculture</t>
  </si>
  <si>
    <t>Dep.Replace</t>
  </si>
  <si>
    <t>Land only</t>
  </si>
  <si>
    <t>Variable</t>
  </si>
  <si>
    <t>Mths</t>
  </si>
  <si>
    <t xml:space="preserve">RSC Levy Replacement </t>
  </si>
  <si>
    <t>Ambulance subsidy</t>
  </si>
  <si>
    <t xml:space="preserve"> Public Transport and Systems</t>
  </si>
  <si>
    <t>Education</t>
  </si>
  <si>
    <t xml:space="preserve">Finance Management </t>
  </si>
  <si>
    <t>Rural Transport Services and Infrastructure</t>
  </si>
  <si>
    <t>Health</t>
  </si>
  <si>
    <t>Municipal Systems Improvement</t>
  </si>
  <si>
    <t>Sport and Recreation</t>
  </si>
  <si>
    <t>Regional Bulk Infrastructure</t>
  </si>
  <si>
    <t xml:space="preserve">Housing and Local Government </t>
  </si>
  <si>
    <t>6-10</t>
  </si>
  <si>
    <t xml:space="preserve">Water Services Operating Subsidy </t>
  </si>
  <si>
    <t xml:space="preserve">Rural Households Infrastructure </t>
  </si>
  <si>
    <t>Other Departments</t>
  </si>
  <si>
    <t>&gt;10</t>
  </si>
  <si>
    <t>Energy Efficiency  and Demand Management</t>
  </si>
  <si>
    <t>Neighbourhood Development Partnership</t>
  </si>
  <si>
    <t xml:space="preserve">Public Works, Roads, Transport </t>
  </si>
  <si>
    <t>&gt;5</t>
  </si>
  <si>
    <t>Integrated National Electrification Programme</t>
  </si>
  <si>
    <t>2010 FIFA World Cup Stadiums Development</t>
  </si>
  <si>
    <t xml:space="preserve">Municipal Drought Relief </t>
  </si>
  <si>
    <t>2010 FIFA World Cup Operating</t>
  </si>
  <si>
    <t>Electricity Demand Side Management</t>
  </si>
  <si>
    <t>EPWP Incentive</t>
  </si>
  <si>
    <t>Asset sub-class old</t>
  </si>
  <si>
    <t>Asset sub-class</t>
  </si>
  <si>
    <t>MTSF</t>
  </si>
  <si>
    <t>Roads, Pavements &amp; Bridges</t>
  </si>
  <si>
    <t>Spatial integration</t>
  </si>
  <si>
    <t>Quality basic education</t>
  </si>
  <si>
    <t>Storm water</t>
  </si>
  <si>
    <t>Inclusion and access</t>
  </si>
  <si>
    <t>A long and healthy life for all South Africans</t>
  </si>
  <si>
    <t>Generation</t>
  </si>
  <si>
    <t>Growth</t>
  </si>
  <si>
    <t>All people in South Africa are and feel safe</t>
  </si>
  <si>
    <t>Transmission &amp; Reticulation</t>
  </si>
  <si>
    <t>Governance</t>
  </si>
  <si>
    <t>Decent employment through inclusive growth</t>
  </si>
  <si>
    <t>Street Lighting</t>
  </si>
  <si>
    <t>A skilled and capable workforce to support an inclusive growth path</t>
  </si>
  <si>
    <t>Dams &amp; Reservoirs</t>
  </si>
  <si>
    <t>An efficient, competitive and responsive economic infrastructure network</t>
  </si>
  <si>
    <t>Water purification</t>
  </si>
  <si>
    <t>Vibrant, equitable, sustainable rural communities contributing towards food security for all</t>
  </si>
  <si>
    <t>Sustainable human settlements and improved quality of household life</t>
  </si>
  <si>
    <t>Sewerage purification</t>
  </si>
  <si>
    <t>Responsive, accountable, effective and efficient local government</t>
  </si>
  <si>
    <t>NOTE: This sheet should not be directly amended - select headings from sheet 'S'</t>
  </si>
  <si>
    <t>Waste Management</t>
  </si>
  <si>
    <t>Protect and enhance our environmental assets and natural resources</t>
  </si>
  <si>
    <t>Transportation</t>
  </si>
  <si>
    <t>Create a better South Africa and contribute to a better Africa and a better world</t>
  </si>
  <si>
    <t>Gas</t>
  </si>
  <si>
    <t>An efficient, effective and development-oriented public service</t>
  </si>
  <si>
    <t>Parks &amp; gardens</t>
  </si>
  <si>
    <t>A comprehensive, responsive and sustainable social protection system</t>
  </si>
  <si>
    <t>Sportsfields &amp; stadia</t>
  </si>
  <si>
    <t>A diverse, socially cohesive society with a common national identity</t>
  </si>
  <si>
    <t>EC EASTERN CAPE</t>
  </si>
  <si>
    <t>Swimming pools</t>
  </si>
  <si>
    <t>Community halls</t>
  </si>
  <si>
    <t>Recreational facilities</t>
  </si>
  <si>
    <t>Fire, safety &amp; emergency</t>
  </si>
  <si>
    <t>Security and policing</t>
  </si>
  <si>
    <t>Buses</t>
  </si>
  <si>
    <t>Clinics</t>
  </si>
  <si>
    <t>Museums &amp; Art Galleries</t>
  </si>
  <si>
    <t>Cemeteries</t>
  </si>
  <si>
    <t>Social rental housing</t>
  </si>
  <si>
    <t>Buildings</t>
  </si>
  <si>
    <t>Housing development</t>
  </si>
  <si>
    <t>General vehicles</t>
  </si>
  <si>
    <t>Specialised vehicles - Refuse</t>
  </si>
  <si>
    <t>Specialised vehicles - Fire</t>
  </si>
  <si>
    <t>Specialised vehicles - Conservancy</t>
  </si>
  <si>
    <t>Specialised vehicles - Ambulances</t>
  </si>
  <si>
    <t>Plant &amp; equipment</t>
  </si>
  <si>
    <t>Computers - hardware/equipment</t>
  </si>
  <si>
    <t>Furniture and other office equipment</t>
  </si>
  <si>
    <t>Civic Land and Buildings</t>
  </si>
  <si>
    <t>Other Buildings</t>
  </si>
  <si>
    <t>Other Land</t>
  </si>
  <si>
    <t>Surplus Assets - (Investment or Inventory)</t>
  </si>
  <si>
    <t>Computers - software &amp; programming</t>
  </si>
  <si>
    <t>SA16 - Investments</t>
  </si>
  <si>
    <t>Security</t>
  </si>
  <si>
    <t>Interest rate</t>
  </si>
  <si>
    <t>Fixed</t>
  </si>
  <si>
    <t>SA36, SA37 - Capital projects</t>
  </si>
  <si>
    <t>FS FREE STATE</t>
  </si>
  <si>
    <t>Purls</t>
  </si>
  <si>
    <t>GT GAUTENG</t>
  </si>
  <si>
    <t>KZN KWAZULU-NATAL</t>
  </si>
  <si>
    <t>LIM LIMPOPO</t>
  </si>
  <si>
    <t>MP MPUMALANGA</t>
  </si>
  <si>
    <t>NC NORTHERN CAPE</t>
  </si>
  <si>
    <t>NW NORTH WEST</t>
  </si>
  <si>
    <t>WC WESTERN CAPE</t>
  </si>
  <si>
    <t>DC4 Garden Route</t>
  </si>
  <si>
    <t>Harry Gwala Development Agency (Pty) Ltd</t>
  </si>
  <si>
    <t>SMME Information Sharing Session/Workshop</t>
  </si>
  <si>
    <t>Capacity Development</t>
  </si>
  <si>
    <t>Enterprise Development Support</t>
  </si>
  <si>
    <t>Business Plan Development</t>
  </si>
  <si>
    <t>Tourism Exhibition Shows</t>
  </si>
  <si>
    <t>District Tourism Forum</t>
  </si>
  <si>
    <t>District Tourism Events</t>
  </si>
  <si>
    <t>Tourism Marketing</t>
  </si>
  <si>
    <t>Tourism Awareness Campaigns</t>
  </si>
  <si>
    <t>Tourism Skills Development</t>
  </si>
  <si>
    <t>Tourism Enterprise Development</t>
  </si>
  <si>
    <t>LED Tourism Forum</t>
  </si>
  <si>
    <t xml:space="preserve">LED </t>
  </si>
  <si>
    <t>PROGRAMS</t>
  </si>
  <si>
    <t>TOURISM</t>
  </si>
  <si>
    <t>Youth Programs</t>
  </si>
  <si>
    <t>Business Networking Session</t>
  </si>
  <si>
    <t>Flea Market</t>
  </si>
  <si>
    <t>12 months</t>
  </si>
  <si>
    <t>First National Bank</t>
  </si>
  <si>
    <t xml:space="preserve">Standard Bank </t>
  </si>
  <si>
    <t>Call Account</t>
  </si>
  <si>
    <t>None</t>
  </si>
  <si>
    <t>RASET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</si>
</sst>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 #,##0.00_ ;_ * \-#,##0.00_ ;_ * &quot;-&quot;??_ ;_ @_ "/>
    <numFmt numFmtId="165" formatCode="_ * #,##0_ ;_ * \-#,##0_ ;_ * &quot;-&quot;??_ ;_ @_ "/>
    <numFmt numFmtId="166" formatCode="_ * #,##0.0_ ;_ * \-#,##0.0_ ;_ * &quot;-&quot;??_ ;_ @_ "/>
    <numFmt numFmtId="167" formatCode="#,###,;[Red]\(#,###,\)"/>
    <numFmt numFmtId="168" formatCode="0.0%"/>
    <numFmt numFmtId="169" formatCode="#,###,;\(#,###,\)"/>
    <numFmt numFmtId="170" formatCode="#,###,,;\(#,###,,\)"/>
    <numFmt numFmtId="171" formatCode="_ * #,##0.0000_ ;_ * \-#,##0.0000_ ;_ * &quot;-&quot;??_ ;_ @_ "/>
    <numFmt numFmtId="172" formatCode="_(* #,##0,_);_(* \(#,##0,\);_(* &quot;–&quot;?_);_(@_)"/>
    <numFmt numFmtId="173" formatCode="_(* #,##0_);_(* \(#,##0\);_(* &quot;–&quot;?_);_(@_)"/>
    <numFmt numFmtId="174" formatCode="_(* #,##0.0%_);_(* \(#,##0.0%\);_(* &quot;–&quot;?_);_(@_)"/>
    <numFmt numFmtId="175" formatCode="[$-1C09]dd\ mmmm\ yyyy"/>
  </numFmts>
  <fonts count="41" x14ac:knownFonts="1">
    <font>
      <sz val="10"/>
      <name val="Arial"/>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i/>
      <sz val="8"/>
      <name val="Arial"/>
      <family val="2"/>
    </font>
    <font>
      <b/>
      <sz val="14"/>
      <color indexed="10"/>
      <name val="Arial"/>
      <family val="2"/>
    </font>
    <font>
      <sz val="10"/>
      <name val="Arial Narrow"/>
      <family val="2"/>
    </font>
    <font>
      <sz val="8"/>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8"/>
      <color indexed="8"/>
      <name val="Arial"/>
      <family val="2"/>
    </font>
    <font>
      <sz val="8"/>
      <name val="Arial"/>
      <family val="2"/>
    </font>
    <font>
      <sz val="10"/>
      <name val="Arial"/>
      <family val="2"/>
    </font>
    <font>
      <sz val="10"/>
      <color rgb="FF0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15"/>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99"/>
        <bgColor indexed="64"/>
      </patternFill>
    </fill>
    <fill>
      <patternFill patternType="solid">
        <fgColor indexed="57"/>
        <bgColor indexed="64"/>
      </patternFill>
    </fill>
  </fills>
  <borders count="8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right style="thin">
        <color indexed="64"/>
      </right>
      <top style="hair">
        <color indexed="64"/>
      </top>
      <bottom style="hair">
        <color indexed="64"/>
      </bottom>
      <diagonal/>
    </border>
  </borders>
  <cellStyleXfs count="46">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21"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164" fontId="1" fillId="0" borderId="0" applyFon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9" fillId="7" borderId="1" applyNumberFormat="0" applyAlignment="0" applyProtection="0"/>
    <xf numFmtId="0" fontId="30" fillId="0" borderId="6" applyNumberFormat="0" applyFill="0" applyAlignment="0" applyProtection="0"/>
    <xf numFmtId="0" fontId="31" fillId="22" borderId="0" applyNumberFormat="0" applyBorder="0" applyAlignment="0" applyProtection="0"/>
    <xf numFmtId="0" fontId="17" fillId="0" borderId="0"/>
    <xf numFmtId="0" fontId="1" fillId="23" borderId="7" applyNumberFormat="0" applyFont="0" applyAlignment="0" applyProtection="0"/>
    <xf numFmtId="0" fontId="32" fillId="20" borderId="8" applyNumberFormat="0" applyAlignment="0" applyProtection="0"/>
    <xf numFmtId="9" fontId="1" fillId="0" borderId="0" applyFont="0" applyFill="0" applyBorder="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 fillId="0" borderId="0"/>
  </cellStyleXfs>
  <cellXfs count="571">
    <xf numFmtId="0" fontId="0" fillId="0" borderId="0" xfId="0"/>
    <xf numFmtId="0" fontId="2" fillId="0" borderId="0" xfId="0" applyFont="1"/>
    <xf numFmtId="0" fontId="2" fillId="0" borderId="10" xfId="0" applyFont="1" applyBorder="1" applyAlignment="1">
      <alignment horizontal="center"/>
    </xf>
    <xf numFmtId="0" fontId="2" fillId="0" borderId="0" xfId="0" applyFont="1" applyAlignment="1">
      <alignment horizontal="center"/>
    </xf>
    <xf numFmtId="0" fontId="4" fillId="0" borderId="0" xfId="0" applyFont="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applyAlignment="1">
      <alignment horizontal="center"/>
    </xf>
    <xf numFmtId="0" fontId="2" fillId="0" borderId="11" xfId="0" applyFont="1" applyBorder="1" applyAlignment="1">
      <alignment horizontal="center"/>
    </xf>
    <xf numFmtId="0" fontId="2" fillId="0" borderId="15" xfId="0" applyFont="1" applyBorder="1" applyAlignment="1">
      <alignment horizontal="center"/>
    </xf>
    <xf numFmtId="0" fontId="2" fillId="0" borderId="12" xfId="0" applyFont="1" applyBorder="1" applyAlignment="1">
      <alignment horizontal="center"/>
    </xf>
    <xf numFmtId="0" fontId="2" fillId="0" borderId="16" xfId="0" applyFont="1" applyBorder="1" applyAlignment="1">
      <alignment horizontal="center"/>
    </xf>
    <xf numFmtId="0" fontId="2" fillId="0" borderId="11" xfId="0" quotePrefix="1" applyFont="1" applyBorder="1"/>
    <xf numFmtId="0" fontId="2" fillId="0" borderId="0" xfId="0" quotePrefix="1" applyFont="1"/>
    <xf numFmtId="0" fontId="3" fillId="24" borderId="17" xfId="0" applyFont="1" applyFill="1" applyBorder="1" applyAlignment="1">
      <alignment horizontal="center"/>
    </xf>
    <xf numFmtId="0" fontId="2" fillId="0" borderId="18" xfId="0" applyFont="1" applyBorder="1" applyAlignment="1">
      <alignment horizontal="center"/>
    </xf>
    <xf numFmtId="0" fontId="6" fillId="0" borderId="0" xfId="0" applyFont="1"/>
    <xf numFmtId="0" fontId="7" fillId="0" borderId="19" xfId="0" applyFont="1" applyBorder="1" applyAlignment="1">
      <alignment horizontal="center" vertical="center" wrapText="1"/>
    </xf>
    <xf numFmtId="0" fontId="9" fillId="0" borderId="11" xfId="0" applyFont="1" applyBorder="1"/>
    <xf numFmtId="0" fontId="6" fillId="0" borderId="11" xfId="0" applyFont="1" applyBorder="1" applyAlignment="1">
      <alignment horizontal="left" indent="1"/>
    </xf>
    <xf numFmtId="0" fontId="6" fillId="0" borderId="11" xfId="0" applyFont="1" applyBorder="1"/>
    <xf numFmtId="172" fontId="6" fillId="0" borderId="0" xfId="0" applyNumberFormat="1" applyFont="1"/>
    <xf numFmtId="172" fontId="6" fillId="0" borderId="20" xfId="0" applyNumberFormat="1" applyFont="1" applyBorder="1"/>
    <xf numFmtId="172" fontId="6" fillId="0" borderId="21" xfId="0" applyNumberFormat="1" applyFont="1" applyBorder="1"/>
    <xf numFmtId="172" fontId="7" fillId="0" borderId="0" xfId="0" applyNumberFormat="1" applyFont="1"/>
    <xf numFmtId="172" fontId="7" fillId="0" borderId="20" xfId="0" applyNumberFormat="1" applyFont="1" applyBorder="1"/>
    <xf numFmtId="172" fontId="7" fillId="0" borderId="21" xfId="0" applyNumberFormat="1" applyFont="1" applyBorder="1"/>
    <xf numFmtId="0" fontId="7" fillId="0" borderId="22" xfId="0" applyFont="1" applyBorder="1"/>
    <xf numFmtId="172" fontId="7" fillId="0" borderId="23" xfId="0" applyNumberFormat="1" applyFont="1" applyBorder="1"/>
    <xf numFmtId="172" fontId="7" fillId="0" borderId="24" xfId="0" applyNumberFormat="1" applyFont="1" applyBorder="1"/>
    <xf numFmtId="0" fontId="11" fillId="0" borderId="0" xfId="0" applyFont="1"/>
    <xf numFmtId="0" fontId="6" fillId="0" borderId="0" xfId="0" applyFont="1" applyAlignment="1">
      <alignment horizontal="center"/>
    </xf>
    <xf numFmtId="0" fontId="10" fillId="0" borderId="0" xfId="0" quotePrefix="1" applyFont="1"/>
    <xf numFmtId="0" fontId="7" fillId="0" borderId="0" xfId="0" applyFont="1"/>
    <xf numFmtId="169" fontId="7" fillId="0" borderId="0" xfId="0" applyNumberFormat="1" applyFont="1"/>
    <xf numFmtId="0" fontId="10" fillId="0" borderId="0" xfId="0" applyFont="1" applyAlignment="1">
      <alignment horizontal="center"/>
    </xf>
    <xf numFmtId="0" fontId="10" fillId="0" borderId="0" xfId="0" applyFont="1" applyAlignment="1">
      <alignment horizontal="right"/>
    </xf>
    <xf numFmtId="172" fontId="7" fillId="0" borderId="25" xfId="0" applyNumberFormat="1" applyFont="1" applyBorder="1"/>
    <xf numFmtId="172" fontId="7" fillId="0" borderId="26" xfId="0" applyNumberFormat="1" applyFont="1" applyBorder="1"/>
    <xf numFmtId="169" fontId="8" fillId="0" borderId="0" xfId="0" applyNumberFormat="1" applyFont="1"/>
    <xf numFmtId="0" fontId="10" fillId="0" borderId="0" xfId="0" applyFont="1"/>
    <xf numFmtId="0" fontId="8" fillId="0" borderId="0" xfId="0" applyFont="1"/>
    <xf numFmtId="165" fontId="10" fillId="0" borderId="0" xfId="28" applyNumberFormat="1" applyFont="1" applyAlignment="1">
      <alignment horizontal="right"/>
    </xf>
    <xf numFmtId="169" fontId="6" fillId="0" borderId="0" xfId="0" applyNumberFormat="1" applyFont="1"/>
    <xf numFmtId="0" fontId="7" fillId="0" borderId="11" xfId="0" applyFont="1" applyBorder="1"/>
    <xf numFmtId="167" fontId="6" fillId="0" borderId="0" xfId="0" applyNumberFormat="1" applyFont="1"/>
    <xf numFmtId="0" fontId="7" fillId="0" borderId="28" xfId="0" applyFont="1" applyBorder="1"/>
    <xf numFmtId="172" fontId="6" fillId="0" borderId="29" xfId="0" applyNumberFormat="1" applyFont="1" applyBorder="1"/>
    <xf numFmtId="172" fontId="6" fillId="0" borderId="30" xfId="0" applyNumberFormat="1" applyFont="1" applyBorder="1"/>
    <xf numFmtId="172" fontId="6" fillId="0" borderId="31" xfId="0" applyNumberFormat="1" applyFont="1" applyBorder="1"/>
    <xf numFmtId="172" fontId="7" fillId="0" borderId="31" xfId="0" applyNumberFormat="1" applyFont="1" applyBorder="1"/>
    <xf numFmtId="172" fontId="6" fillId="0" borderId="33" xfId="0" applyNumberFormat="1" applyFont="1" applyBorder="1"/>
    <xf numFmtId="172" fontId="6" fillId="0" borderId="34" xfId="0" applyNumberFormat="1" applyFont="1" applyBorder="1"/>
    <xf numFmtId="172" fontId="6" fillId="0" borderId="35" xfId="0" applyNumberFormat="1" applyFont="1" applyBorder="1"/>
    <xf numFmtId="172" fontId="6" fillId="0" borderId="36" xfId="0" applyNumberFormat="1" applyFont="1" applyBorder="1"/>
    <xf numFmtId="0" fontId="6" fillId="0" borderId="20" xfId="0" applyFont="1" applyBorder="1" applyAlignment="1">
      <alignment horizontal="center" vertical="top" wrapText="1"/>
    </xf>
    <xf numFmtId="165" fontId="6" fillId="0" borderId="0" xfId="28" applyNumberFormat="1" applyFont="1"/>
    <xf numFmtId="0" fontId="12" fillId="0" borderId="0" xfId="0" applyFont="1"/>
    <xf numFmtId="0" fontId="6" fillId="0" borderId="11" xfId="0" applyFont="1" applyBorder="1" applyAlignment="1">
      <alignment horizontal="center" vertical="top" wrapText="1"/>
    </xf>
    <xf numFmtId="0" fontId="6" fillId="0" borderId="11" xfId="0" applyFont="1" applyBorder="1" applyAlignment="1">
      <alignment horizontal="left" vertical="top" wrapText="1"/>
    </xf>
    <xf numFmtId="168" fontId="6" fillId="0" borderId="21" xfId="41" applyNumberFormat="1" applyFont="1" applyBorder="1" applyAlignment="1">
      <alignment horizontal="center" vertical="top" wrapText="1"/>
    </xf>
    <xf numFmtId="168" fontId="6" fillId="0" borderId="20" xfId="41" applyNumberFormat="1" applyFont="1" applyBorder="1" applyAlignment="1">
      <alignment horizontal="center" vertical="top" wrapText="1"/>
    </xf>
    <xf numFmtId="0" fontId="6" fillId="0" borderId="11" xfId="0" applyFont="1" applyBorder="1" applyAlignment="1">
      <alignment horizontal="left" vertical="top" wrapText="1" indent="1"/>
    </xf>
    <xf numFmtId="0" fontId="9" fillId="0" borderId="11" xfId="0" applyFont="1" applyBorder="1" applyAlignment="1">
      <alignment horizontal="left" wrapText="1"/>
    </xf>
    <xf numFmtId="0" fontId="6" fillId="0" borderId="21" xfId="0" applyFont="1" applyBorder="1" applyAlignment="1">
      <alignment horizontal="center" vertical="top" wrapText="1"/>
    </xf>
    <xf numFmtId="168" fontId="6" fillId="0" borderId="21" xfId="0" applyNumberFormat="1" applyFont="1" applyBorder="1" applyAlignment="1">
      <alignment horizontal="center" vertical="top" wrapText="1"/>
    </xf>
    <xf numFmtId="168" fontId="6" fillId="0" borderId="20" xfId="0" applyNumberFormat="1" applyFont="1" applyBorder="1" applyAlignment="1">
      <alignment horizontal="center" vertical="top" wrapText="1"/>
    </xf>
    <xf numFmtId="9" fontId="6" fillId="0" borderId="21" xfId="0" applyNumberFormat="1" applyFont="1" applyBorder="1" applyAlignment="1">
      <alignment horizontal="center" vertical="top" wrapText="1"/>
    </xf>
    <xf numFmtId="9" fontId="6" fillId="0" borderId="20" xfId="0" applyNumberFormat="1" applyFont="1" applyBorder="1" applyAlignment="1">
      <alignment horizontal="center" vertical="top" wrapText="1"/>
    </xf>
    <xf numFmtId="0" fontId="6" fillId="0" borderId="0" xfId="0" applyFont="1" applyAlignment="1">
      <alignment horizontal="left" vertical="top" wrapText="1"/>
    </xf>
    <xf numFmtId="166" fontId="6" fillId="0" borderId="21" xfId="28" applyNumberFormat="1" applyFont="1" applyBorder="1" applyAlignment="1">
      <alignment vertical="top" wrapText="1"/>
    </xf>
    <xf numFmtId="166" fontId="6" fillId="0" borderId="20" xfId="28" applyNumberFormat="1" applyFont="1" applyBorder="1" applyAlignment="1">
      <alignment vertical="top" wrapText="1"/>
    </xf>
    <xf numFmtId="166" fontId="6" fillId="0" borderId="0" xfId="28" applyNumberFormat="1" applyFont="1" applyAlignment="1">
      <alignment vertical="top" wrapText="1"/>
    </xf>
    <xf numFmtId="9" fontId="6" fillId="0" borderId="20" xfId="41" applyFont="1" applyBorder="1" applyAlignment="1">
      <alignment horizontal="center" vertical="top" wrapText="1"/>
    </xf>
    <xf numFmtId="2" fontId="6" fillId="0" borderId="20" xfId="28" applyNumberFormat="1" applyFont="1" applyBorder="1" applyAlignment="1">
      <alignment horizontal="center" vertical="top" wrapText="1"/>
    </xf>
    <xf numFmtId="0" fontId="6" fillId="0" borderId="15" xfId="0" applyFont="1" applyBorder="1" applyAlignment="1">
      <alignment horizontal="left" vertical="top" wrapText="1"/>
    </xf>
    <xf numFmtId="166" fontId="6" fillId="0" borderId="35" xfId="28" applyNumberFormat="1" applyFont="1" applyBorder="1" applyAlignment="1">
      <alignment vertical="top" wrapText="1"/>
    </xf>
    <xf numFmtId="172" fontId="6" fillId="0" borderId="10" xfId="0" applyNumberFormat="1" applyFont="1" applyBorder="1"/>
    <xf numFmtId="0" fontId="7" fillId="0" borderId="29" xfId="0" applyFont="1" applyBorder="1" applyAlignment="1">
      <alignment horizontal="center" vertical="center" wrapText="1"/>
    </xf>
    <xf numFmtId="0" fontId="7" fillId="0" borderId="40" xfId="0" applyFont="1" applyBorder="1" applyAlignment="1">
      <alignment horizontal="center" vertical="center" wrapText="1"/>
    </xf>
    <xf numFmtId="164" fontId="6" fillId="0" borderId="0" xfId="28" applyFont="1"/>
    <xf numFmtId="172" fontId="6" fillId="0" borderId="41" xfId="0" applyNumberFormat="1" applyFont="1" applyBorder="1"/>
    <xf numFmtId="172" fontId="6" fillId="0" borderId="42" xfId="0" applyNumberFormat="1" applyFont="1" applyBorder="1"/>
    <xf numFmtId="172" fontId="7" fillId="0" borderId="43" xfId="0" applyNumberFormat="1" applyFont="1" applyBorder="1"/>
    <xf numFmtId="0" fontId="7" fillId="0" borderId="44" xfId="0" applyFont="1" applyBorder="1" applyAlignment="1">
      <alignment horizontal="center" vertical="center" wrapText="1"/>
    </xf>
    <xf numFmtId="170" fontId="6" fillId="0" borderId="0" xfId="0" applyNumberFormat="1" applyFont="1"/>
    <xf numFmtId="172" fontId="6" fillId="0" borderId="25" xfId="0" applyNumberFormat="1" applyFont="1" applyBorder="1"/>
    <xf numFmtId="0" fontId="5" fillId="0" borderId="0" xfId="0" applyFont="1" applyAlignment="1">
      <alignment horizontal="left"/>
    </xf>
    <xf numFmtId="0" fontId="7" fillId="0" borderId="46" xfId="0" applyFont="1" applyBorder="1" applyAlignment="1">
      <alignment horizontal="center" vertical="center" wrapText="1"/>
    </xf>
    <xf numFmtId="0" fontId="6" fillId="0" borderId="10" xfId="0" applyFont="1" applyBorder="1" applyAlignment="1">
      <alignment horizontal="center"/>
    </xf>
    <xf numFmtId="0" fontId="6" fillId="0" borderId="0" xfId="0" quotePrefix="1" applyFont="1"/>
    <xf numFmtId="0" fontId="6" fillId="0" borderId="10" xfId="0" applyFont="1" applyBorder="1" applyAlignment="1">
      <alignment horizontal="left" vertical="top" wrapText="1"/>
    </xf>
    <xf numFmtId="0" fontId="9" fillId="0" borderId="10" xfId="0" applyFont="1" applyBorder="1" applyAlignment="1">
      <alignment horizontal="left" wrapText="1"/>
    </xf>
    <xf numFmtId="0" fontId="12" fillId="0" borderId="10" xfId="0" applyFont="1" applyBorder="1" applyAlignment="1">
      <alignment horizontal="center"/>
    </xf>
    <xf numFmtId="0" fontId="6" fillId="0" borderId="0" xfId="0" quotePrefix="1" applyFont="1" applyAlignment="1">
      <alignment horizontal="left" wrapText="1"/>
    </xf>
    <xf numFmtId="0" fontId="6" fillId="0" borderId="47" xfId="0" applyFont="1" applyBorder="1" applyAlignment="1">
      <alignment horizontal="left" vertical="top" wrapText="1"/>
    </xf>
    <xf numFmtId="171" fontId="6" fillId="0" borderId="0" xfId="28" applyNumberFormat="1" applyFont="1"/>
    <xf numFmtId="172" fontId="6" fillId="0" borderId="48" xfId="0" applyNumberFormat="1" applyFont="1" applyBorder="1"/>
    <xf numFmtId="172" fontId="7" fillId="0" borderId="42" xfId="0" applyNumberFormat="1" applyFont="1" applyBorder="1"/>
    <xf numFmtId="172" fontId="6" fillId="0" borderId="49" xfId="0" applyNumberFormat="1" applyFont="1" applyBorder="1"/>
    <xf numFmtId="0" fontId="7" fillId="0" borderId="30" xfId="0" applyFont="1" applyBorder="1" applyAlignment="1">
      <alignment horizontal="center" vertical="center" wrapText="1"/>
    </xf>
    <xf numFmtId="9" fontId="7" fillId="0" borderId="29" xfId="41" applyFont="1" applyBorder="1" applyAlignment="1">
      <alignment horizontal="center" vertical="center" wrapText="1"/>
    </xf>
    <xf numFmtId="9" fontId="7" fillId="0" borderId="20" xfId="41" applyFont="1" applyBorder="1" applyAlignment="1">
      <alignment horizontal="center" vertical="center" wrapText="1"/>
    </xf>
    <xf numFmtId="0" fontId="7" fillId="0" borderId="19" xfId="0" applyFont="1" applyBorder="1" applyAlignment="1">
      <alignment horizontal="centerContinuous" vertical="center" wrapText="1"/>
    </xf>
    <xf numFmtId="0" fontId="7" fillId="0" borderId="40" xfId="0" applyFont="1" applyBorder="1" applyAlignment="1">
      <alignment horizontal="centerContinuous" vertical="center" wrapText="1"/>
    </xf>
    <xf numFmtId="0" fontId="7" fillId="0" borderId="44" xfId="0" applyFont="1" applyBorder="1" applyAlignment="1">
      <alignment horizontal="centerContinuous" vertical="center" wrapText="1"/>
    </xf>
    <xf numFmtId="0" fontId="6" fillId="0" borderId="50" xfId="0" applyFont="1" applyBorder="1" applyAlignment="1">
      <alignment horizontal="center"/>
    </xf>
    <xf numFmtId="172" fontId="7" fillId="0" borderId="51" xfId="0" applyNumberFormat="1" applyFont="1" applyBorder="1"/>
    <xf numFmtId="0" fontId="6" fillId="0" borderId="32" xfId="0" applyFont="1" applyBorder="1" applyAlignment="1">
      <alignment horizontal="center"/>
    </xf>
    <xf numFmtId="172" fontId="7" fillId="0" borderId="50" xfId="0" applyNumberFormat="1" applyFont="1" applyBorder="1"/>
    <xf numFmtId="0" fontId="6" fillId="0" borderId="52" xfId="0" applyFont="1" applyBorder="1" applyAlignment="1">
      <alignment horizontal="center"/>
    </xf>
    <xf numFmtId="172" fontId="7" fillId="0" borderId="53" xfId="0" applyNumberFormat="1" applyFont="1" applyBorder="1"/>
    <xf numFmtId="172" fontId="7" fillId="0" borderId="54" xfId="0" applyNumberFormat="1" applyFont="1" applyBorder="1"/>
    <xf numFmtId="172" fontId="6" fillId="0" borderId="43" xfId="0" applyNumberFormat="1" applyFont="1" applyBorder="1"/>
    <xf numFmtId="168" fontId="6" fillId="0" borderId="42" xfId="41" applyNumberFormat="1" applyFont="1" applyBorder="1" applyAlignment="1">
      <alignment horizontal="center" vertical="top" wrapText="1"/>
    </xf>
    <xf numFmtId="0" fontId="6" fillId="0" borderId="15" xfId="0" applyFont="1" applyBorder="1" applyAlignment="1">
      <alignment horizontal="left" vertical="top" wrapText="1" indent="1"/>
    </xf>
    <xf numFmtId="172" fontId="6" fillId="0" borderId="24" xfId="0" applyNumberFormat="1" applyFont="1" applyBorder="1"/>
    <xf numFmtId="172" fontId="6" fillId="0" borderId="23" xfId="0" applyNumberFormat="1" applyFont="1" applyBorder="1"/>
    <xf numFmtId="172" fontId="6" fillId="0" borderId="51" xfId="0" applyNumberFormat="1" applyFont="1" applyBorder="1"/>
    <xf numFmtId="172" fontId="7" fillId="0" borderId="55" xfId="0" applyNumberFormat="1" applyFont="1" applyBorder="1"/>
    <xf numFmtId="0" fontId="7" fillId="0" borderId="56" xfId="0" applyFont="1" applyBorder="1" applyAlignment="1">
      <alignment horizontal="left"/>
    </xf>
    <xf numFmtId="172" fontId="6" fillId="0" borderId="26" xfId="0" applyNumberFormat="1" applyFont="1" applyBorder="1"/>
    <xf numFmtId="9" fontId="7" fillId="0" borderId="46" xfId="41" applyFont="1" applyBorder="1" applyAlignment="1">
      <alignment horizontal="center" vertical="center" wrapText="1"/>
    </xf>
    <xf numFmtId="168" fontId="7" fillId="0" borderId="42" xfId="41" applyNumberFormat="1" applyFont="1" applyBorder="1" applyAlignment="1">
      <alignment vertical="top" wrapText="1"/>
    </xf>
    <xf numFmtId="0" fontId="7" fillId="0" borderId="58" xfId="0" applyFont="1" applyBorder="1" applyAlignment="1">
      <alignment horizontal="center" vertical="top" wrapText="1"/>
    </xf>
    <xf numFmtId="0" fontId="7" fillId="0" borderId="59" xfId="0" applyFont="1" applyBorder="1" applyAlignment="1">
      <alignment horizontal="center" vertical="top" wrapText="1"/>
    </xf>
    <xf numFmtId="0" fontId="7" fillId="0" borderId="57" xfId="0" applyFont="1" applyBorder="1" applyAlignment="1">
      <alignment horizontal="center" vertical="top" wrapText="1"/>
    </xf>
    <xf numFmtId="0" fontId="7" fillId="0" borderId="52" xfId="0" applyFont="1" applyBorder="1" applyAlignment="1">
      <alignment horizontal="left"/>
    </xf>
    <xf numFmtId="0" fontId="11" fillId="0" borderId="0" xfId="0" applyFont="1" applyAlignment="1">
      <alignment horizontal="left" vertical="top" wrapText="1"/>
    </xf>
    <xf numFmtId="0" fontId="6" fillId="0" borderId="42" xfId="0" applyFont="1" applyBorder="1" applyAlignment="1">
      <alignment horizontal="center" vertical="top" wrapText="1"/>
    </xf>
    <xf numFmtId="9" fontId="6" fillId="0" borderId="21" xfId="41" applyFont="1" applyBorder="1" applyAlignment="1">
      <alignment horizontal="center" vertical="top" wrapText="1"/>
    </xf>
    <xf numFmtId="9" fontId="6" fillId="0" borderId="42" xfId="41" applyFont="1" applyBorder="1" applyAlignment="1">
      <alignment horizontal="center" vertical="top" wrapText="1"/>
    </xf>
    <xf numFmtId="2" fontId="6" fillId="0" borderId="21" xfId="28" applyNumberFormat="1" applyFont="1" applyBorder="1" applyAlignment="1">
      <alignment horizontal="center" vertical="top" wrapText="1"/>
    </xf>
    <xf numFmtId="2" fontId="6" fillId="0" borderId="42" xfId="28" applyNumberFormat="1" applyFont="1" applyBorder="1" applyAlignment="1">
      <alignment horizontal="center" vertical="top" wrapText="1"/>
    </xf>
    <xf numFmtId="9" fontId="6" fillId="0" borderId="42" xfId="0" applyNumberFormat="1" applyFont="1" applyBorder="1" applyAlignment="1">
      <alignment horizontal="center" vertical="top" wrapText="1"/>
    </xf>
    <xf numFmtId="168" fontId="6" fillId="0" borderId="42" xfId="0" applyNumberFormat="1" applyFont="1" applyBorder="1" applyAlignment="1">
      <alignment horizontal="center" vertical="top" wrapText="1"/>
    </xf>
    <xf numFmtId="166" fontId="6" fillId="0" borderId="42" xfId="28" applyNumberFormat="1" applyFont="1" applyBorder="1" applyAlignment="1">
      <alignment vertical="top" wrapText="1"/>
    </xf>
    <xf numFmtId="166" fontId="6" fillId="0" borderId="48" xfId="28" applyNumberFormat="1" applyFont="1" applyBorder="1" applyAlignment="1">
      <alignment vertical="top" wrapText="1"/>
    </xf>
    <xf numFmtId="166" fontId="6" fillId="0" borderId="36" xfId="28" applyNumberFormat="1" applyFont="1" applyBorder="1" applyAlignment="1">
      <alignment vertical="top" wrapText="1"/>
    </xf>
    <xf numFmtId="172" fontId="6" fillId="0" borderId="57" xfId="0" applyNumberFormat="1" applyFont="1" applyBorder="1" applyAlignment="1">
      <alignment horizontal="center"/>
    </xf>
    <xf numFmtId="172" fontId="6" fillId="0" borderId="58" xfId="0" applyNumberFormat="1" applyFont="1" applyBorder="1" applyAlignment="1">
      <alignment horizontal="center"/>
    </xf>
    <xf numFmtId="172" fontId="6" fillId="0" borderId="62" xfId="0" applyNumberFormat="1" applyFont="1" applyBorder="1" applyAlignment="1">
      <alignment horizontal="center"/>
    </xf>
    <xf numFmtId="172" fontId="6" fillId="0" borderId="55" xfId="0" applyNumberFormat="1" applyFont="1" applyBorder="1"/>
    <xf numFmtId="172" fontId="6" fillId="0" borderId="27" xfId="0" applyNumberFormat="1" applyFont="1" applyBorder="1"/>
    <xf numFmtId="0" fontId="7" fillId="0" borderId="56" xfId="0" applyFont="1" applyBorder="1" applyAlignment="1">
      <alignment horizontal="left" wrapText="1"/>
    </xf>
    <xf numFmtId="9" fontId="7" fillId="0" borderId="20" xfId="41" applyFont="1" applyBorder="1" applyAlignment="1">
      <alignment horizontal="center" vertical="top" wrapText="1"/>
    </xf>
    <xf numFmtId="9" fontId="7" fillId="0" borderId="19" xfId="41" applyFont="1" applyBorder="1" applyAlignment="1">
      <alignment horizontal="center" vertical="top" wrapText="1"/>
    </xf>
    <xf numFmtId="9" fontId="7" fillId="0" borderId="33" xfId="41" applyFont="1" applyBorder="1" applyAlignment="1">
      <alignment horizontal="center" vertical="top" wrapText="1"/>
    </xf>
    <xf numFmtId="9" fontId="7" fillId="0" borderId="58" xfId="41" applyFont="1" applyBorder="1" applyAlignment="1">
      <alignment horizontal="center" vertical="top" wrapText="1"/>
    </xf>
    <xf numFmtId="0" fontId="2" fillId="0" borderId="65" xfId="0" applyFont="1" applyBorder="1" applyAlignment="1">
      <alignment horizontal="center"/>
    </xf>
    <xf numFmtId="0" fontId="2" fillId="0" borderId="66" xfId="0" applyFont="1" applyBorder="1"/>
    <xf numFmtId="0" fontId="3" fillId="0" borderId="0" xfId="0" applyFont="1"/>
    <xf numFmtId="172" fontId="7" fillId="0" borderId="30" xfId="0" applyNumberFormat="1" applyFont="1" applyBorder="1"/>
    <xf numFmtId="172" fontId="7" fillId="0" borderId="29" xfId="0" applyNumberFormat="1" applyFont="1" applyBorder="1"/>
    <xf numFmtId="172" fontId="7" fillId="0" borderId="49" xfId="0" applyNumberFormat="1" applyFont="1" applyBorder="1"/>
    <xf numFmtId="172" fontId="7" fillId="0" borderId="36" xfId="0" applyNumberFormat="1" applyFont="1" applyBorder="1"/>
    <xf numFmtId="172" fontId="7" fillId="0" borderId="35" xfId="0" applyNumberFormat="1" applyFont="1" applyBorder="1"/>
    <xf numFmtId="172" fontId="7" fillId="0" borderId="48" xfId="0" applyNumberFormat="1" applyFont="1" applyBorder="1"/>
    <xf numFmtId="172" fontId="6" fillId="0" borderId="32" xfId="0" applyNumberFormat="1" applyFont="1" applyBorder="1"/>
    <xf numFmtId="9" fontId="6" fillId="0" borderId="36" xfId="41" applyFont="1" applyBorder="1" applyAlignment="1">
      <alignment horizontal="center" vertical="top" wrapText="1"/>
    </xf>
    <xf numFmtId="0" fontId="7" fillId="0" borderId="0" xfId="0" applyFont="1" applyAlignment="1">
      <alignment horizontal="center"/>
    </xf>
    <xf numFmtId="0" fontId="6" fillId="0" borderId="11" xfId="0" applyFont="1" applyBorder="1" applyAlignment="1">
      <alignment horizontal="center"/>
    </xf>
    <xf numFmtId="172" fontId="7" fillId="0" borderId="20" xfId="0" applyNumberFormat="1" applyFont="1" applyBorder="1" applyAlignment="1">
      <alignment vertical="top"/>
    </xf>
    <xf numFmtId="172" fontId="7" fillId="0" borderId="42" xfId="0" applyNumberFormat="1" applyFont="1" applyBorder="1" applyAlignment="1">
      <alignment vertical="top"/>
    </xf>
    <xf numFmtId="172" fontId="7" fillId="0" borderId="21" xfId="0" applyNumberFormat="1" applyFont="1" applyBorder="1" applyAlignment="1">
      <alignment vertical="top"/>
    </xf>
    <xf numFmtId="172" fontId="6" fillId="25" borderId="20" xfId="0" applyNumberFormat="1" applyFont="1" applyFill="1" applyBorder="1" applyProtection="1">
      <protection locked="0"/>
    </xf>
    <xf numFmtId="172" fontId="6" fillId="25" borderId="42" xfId="0" applyNumberFormat="1" applyFont="1" applyFill="1" applyBorder="1" applyProtection="1">
      <protection locked="0"/>
    </xf>
    <xf numFmtId="172" fontId="6" fillId="25" borderId="21" xfId="0" applyNumberFormat="1" applyFont="1" applyFill="1" applyBorder="1" applyProtection="1">
      <protection locked="0"/>
    </xf>
    <xf numFmtId="172" fontId="6" fillId="25" borderId="58" xfId="0" applyNumberFormat="1" applyFont="1" applyFill="1" applyBorder="1" applyProtection="1">
      <protection locked="0"/>
    </xf>
    <xf numFmtId="172" fontId="6" fillId="25" borderId="62" xfId="0" applyNumberFormat="1" applyFont="1" applyFill="1" applyBorder="1" applyProtection="1">
      <protection locked="0"/>
    </xf>
    <xf numFmtId="172" fontId="6" fillId="25" borderId="57" xfId="0" applyNumberFormat="1" applyFont="1" applyFill="1" applyBorder="1" applyProtection="1">
      <protection locked="0"/>
    </xf>
    <xf numFmtId="172" fontId="7" fillId="25" borderId="21" xfId="0" applyNumberFormat="1" applyFont="1" applyFill="1" applyBorder="1" applyProtection="1">
      <protection locked="0"/>
    </xf>
    <xf numFmtId="0" fontId="7" fillId="25" borderId="11" xfId="0" applyFont="1" applyFill="1" applyBorder="1" applyAlignment="1" applyProtection="1">
      <alignment horizontal="left" vertical="top" wrapText="1"/>
      <protection locked="0"/>
    </xf>
    <xf numFmtId="0" fontId="7" fillId="25" borderId="10" xfId="0" applyFont="1" applyFill="1" applyBorder="1" applyAlignment="1" applyProtection="1">
      <alignment horizontal="left" vertical="top" wrapText="1"/>
      <protection locked="0"/>
    </xf>
    <xf numFmtId="0" fontId="6" fillId="25" borderId="11" xfId="0" applyFont="1" applyFill="1" applyBorder="1" applyAlignment="1" applyProtection="1">
      <alignment horizontal="left" vertical="top" wrapText="1"/>
      <protection locked="0"/>
    </xf>
    <xf numFmtId="0" fontId="6" fillId="25" borderId="10" xfId="0" applyFont="1" applyFill="1" applyBorder="1" applyAlignment="1" applyProtection="1">
      <alignment horizontal="left" vertical="top" wrapText="1"/>
      <protection locked="0"/>
    </xf>
    <xf numFmtId="0" fontId="6" fillId="25" borderId="11" xfId="0" applyFont="1" applyFill="1" applyBorder="1" applyAlignment="1" applyProtection="1">
      <alignment horizontal="left" wrapText="1"/>
      <protection locked="0"/>
    </xf>
    <xf numFmtId="0" fontId="6" fillId="25" borderId="10" xfId="0" applyFont="1" applyFill="1" applyBorder="1" applyAlignment="1" applyProtection="1">
      <alignment horizontal="left" wrapText="1"/>
      <protection locked="0"/>
    </xf>
    <xf numFmtId="0" fontId="9" fillId="25" borderId="10" xfId="0" applyFont="1" applyFill="1" applyBorder="1" applyAlignment="1" applyProtection="1">
      <alignment horizontal="left" wrapText="1"/>
      <protection locked="0"/>
    </xf>
    <xf numFmtId="0" fontId="6" fillId="25" borderId="15" xfId="0" applyFont="1" applyFill="1" applyBorder="1" applyAlignment="1" applyProtection="1">
      <alignment horizontal="left" wrapText="1"/>
      <protection locked="0"/>
    </xf>
    <xf numFmtId="0" fontId="9" fillId="25" borderId="47" xfId="0" applyFont="1" applyFill="1" applyBorder="1" applyAlignment="1" applyProtection="1">
      <alignment horizontal="left" wrapText="1"/>
      <protection locked="0"/>
    </xf>
    <xf numFmtId="172" fontId="6" fillId="25" borderId="36" xfId="0" applyNumberFormat="1" applyFont="1" applyFill="1" applyBorder="1" applyProtection="1">
      <protection locked="0"/>
    </xf>
    <xf numFmtId="172" fontId="6" fillId="25" borderId="35" xfId="0" applyNumberFormat="1" applyFont="1" applyFill="1" applyBorder="1" applyProtection="1">
      <protection locked="0"/>
    </xf>
    <xf numFmtId="172" fontId="6" fillId="25" borderId="48" xfId="0" applyNumberFormat="1" applyFont="1" applyFill="1" applyBorder="1" applyProtection="1">
      <protection locked="0"/>
    </xf>
    <xf numFmtId="169" fontId="6" fillId="25" borderId="0" xfId="0" applyNumberFormat="1" applyFont="1" applyFill="1" applyProtection="1">
      <protection locked="0"/>
    </xf>
    <xf numFmtId="0" fontId="6" fillId="0" borderId="21" xfId="0" applyFont="1" applyBorder="1" applyAlignment="1" applyProtection="1">
      <alignment horizontal="center" vertical="top" wrapText="1"/>
      <protection locked="0"/>
    </xf>
    <xf numFmtId="9" fontId="6" fillId="25" borderId="21" xfId="41" applyFont="1" applyFill="1" applyBorder="1" applyAlignment="1" applyProtection="1">
      <alignment horizontal="center" vertical="top" wrapText="1"/>
      <protection locked="0"/>
    </xf>
    <xf numFmtId="9" fontId="6" fillId="25" borderId="20" xfId="41" applyFont="1" applyFill="1" applyBorder="1" applyAlignment="1" applyProtection="1">
      <alignment horizontal="center" vertical="top" wrapText="1"/>
      <protection locked="0"/>
    </xf>
    <xf numFmtId="9" fontId="6" fillId="25" borderId="42" xfId="41" applyFont="1" applyFill="1" applyBorder="1" applyAlignment="1" applyProtection="1">
      <alignment horizontal="center" vertical="top" wrapText="1"/>
      <protection locked="0"/>
    </xf>
    <xf numFmtId="0" fontId="6" fillId="25" borderId="11" xfId="0" applyFont="1" applyFill="1" applyBorder="1" applyProtection="1">
      <protection locked="0"/>
    </xf>
    <xf numFmtId="169" fontId="6" fillId="25" borderId="20" xfId="0" applyNumberFormat="1" applyFont="1" applyFill="1" applyBorder="1" applyProtection="1">
      <protection locked="0"/>
    </xf>
    <xf numFmtId="169" fontId="6" fillId="25" borderId="42" xfId="0" applyNumberFormat="1" applyFont="1" applyFill="1" applyBorder="1" applyProtection="1">
      <protection locked="0"/>
    </xf>
    <xf numFmtId="172" fontId="6" fillId="25" borderId="31" xfId="0" applyNumberFormat="1" applyFont="1" applyFill="1" applyBorder="1" applyProtection="1">
      <protection locked="0"/>
    </xf>
    <xf numFmtId="169" fontId="6" fillId="25" borderId="29" xfId="0" applyNumberFormat="1" applyFont="1" applyFill="1" applyBorder="1" applyAlignment="1" applyProtection="1">
      <alignment horizontal="center"/>
      <protection locked="0"/>
    </xf>
    <xf numFmtId="169" fontId="6" fillId="25" borderId="20" xfId="0" applyNumberFormat="1" applyFont="1" applyFill="1" applyBorder="1" applyAlignment="1" applyProtection="1">
      <alignment horizontal="center"/>
      <protection locked="0"/>
    </xf>
    <xf numFmtId="0" fontId="6" fillId="0" borderId="10" xfId="0" applyFont="1" applyBorder="1" applyAlignment="1" applyProtection="1">
      <alignment horizontal="center"/>
      <protection locked="0"/>
    </xf>
    <xf numFmtId="0" fontId="7" fillId="0" borderId="65" xfId="0" applyFont="1" applyBorder="1" applyAlignment="1">
      <alignment horizontal="center" vertical="center" wrapText="1"/>
    </xf>
    <xf numFmtId="0" fontId="14" fillId="26" borderId="65" xfId="0" applyFont="1" applyFill="1" applyBorder="1"/>
    <xf numFmtId="0" fontId="14" fillId="26" borderId="66" xfId="0" applyFont="1" applyFill="1" applyBorder="1" applyAlignment="1">
      <alignment horizontal="left"/>
    </xf>
    <xf numFmtId="0" fontId="14" fillId="26" borderId="14" xfId="0" applyFont="1" applyFill="1" applyBorder="1" applyAlignment="1">
      <alignment horizontal="left"/>
    </xf>
    <xf numFmtId="0" fontId="14" fillId="26" borderId="65" xfId="0" applyFont="1" applyFill="1" applyBorder="1" applyAlignment="1">
      <alignment horizontal="left"/>
    </xf>
    <xf numFmtId="0" fontId="3" fillId="27" borderId="0" xfId="0" applyFont="1" applyFill="1"/>
    <xf numFmtId="0" fontId="2" fillId="0" borderId="10" xfId="0" applyFont="1" applyBorder="1"/>
    <xf numFmtId="0" fontId="2" fillId="0" borderId="47" xfId="0" applyFont="1" applyBorder="1"/>
    <xf numFmtId="0" fontId="15" fillId="0" borderId="0" xfId="0" applyFont="1"/>
    <xf numFmtId="0" fontId="2" fillId="0" borderId="15" xfId="0" applyFont="1" applyBorder="1"/>
    <xf numFmtId="0" fontId="16" fillId="0" borderId="0" xfId="0" applyFont="1"/>
    <xf numFmtId="0" fontId="9" fillId="0" borderId="67" xfId="0" applyFont="1" applyBorder="1"/>
    <xf numFmtId="0" fontId="7" fillId="0" borderId="67" xfId="0" applyFont="1" applyBorder="1"/>
    <xf numFmtId="0" fontId="6" fillId="0" borderId="15" xfId="0" applyFont="1" applyBorder="1"/>
    <xf numFmtId="0" fontId="9" fillId="0" borderId="65" xfId="0" applyFont="1" applyBorder="1"/>
    <xf numFmtId="0" fontId="8" fillId="0" borderId="11" xfId="0" applyFont="1" applyBorder="1"/>
    <xf numFmtId="0" fontId="7" fillId="0" borderId="15" xfId="0" applyFont="1" applyBorder="1"/>
    <xf numFmtId="0" fontId="7" fillId="0" borderId="11" xfId="0" applyFont="1" applyBorder="1" applyAlignment="1">
      <alignment horizontal="left" indent="1"/>
    </xf>
    <xf numFmtId="0" fontId="6" fillId="0" borderId="15" xfId="0" applyFont="1" applyBorder="1" applyAlignment="1">
      <alignment horizontal="left" indent="1"/>
    </xf>
    <xf numFmtId="0" fontId="6" fillId="0" borderId="47" xfId="0" applyFont="1" applyBorder="1" applyAlignment="1">
      <alignment horizontal="center"/>
    </xf>
    <xf numFmtId="0" fontId="7" fillId="0" borderId="11" xfId="0" applyFont="1" applyBorder="1" applyAlignment="1">
      <alignment horizontal="center" vertical="center" wrapText="1"/>
    </xf>
    <xf numFmtId="0" fontId="6" fillId="25" borderId="67" xfId="0" applyFont="1" applyFill="1" applyBorder="1" applyProtection="1">
      <protection locked="0"/>
    </xf>
    <xf numFmtId="0" fontId="6" fillId="0" borderId="57" xfId="0" applyFont="1" applyBorder="1" applyAlignment="1">
      <alignment horizontal="center" wrapText="1"/>
    </xf>
    <xf numFmtId="0" fontId="6" fillId="0" borderId="30" xfId="0" applyFont="1" applyBorder="1" applyAlignment="1" applyProtection="1">
      <alignment horizontal="center"/>
      <protection locked="0"/>
    </xf>
    <xf numFmtId="0" fontId="6" fillId="0" borderId="21" xfId="0" applyFont="1" applyBorder="1" applyAlignment="1" applyProtection="1">
      <alignment horizontal="center"/>
      <protection locked="0"/>
    </xf>
    <xf numFmtId="0" fontId="6" fillId="0" borderId="24" xfId="0" applyFont="1" applyBorder="1" applyAlignment="1">
      <alignment horizontal="center"/>
    </xf>
    <xf numFmtId="0" fontId="7" fillId="0" borderId="11" xfId="0" applyFont="1" applyBorder="1" applyAlignment="1">
      <alignment horizontal="left" wrapText="1"/>
    </xf>
    <xf numFmtId="172" fontId="7" fillId="0" borderId="26" xfId="0" applyNumberFormat="1" applyFont="1" applyBorder="1" applyAlignment="1">
      <alignment vertical="top"/>
    </xf>
    <xf numFmtId="172" fontId="7" fillId="0" borderId="25" xfId="0" applyNumberFormat="1" applyFont="1" applyBorder="1" applyAlignment="1">
      <alignment vertical="top"/>
    </xf>
    <xf numFmtId="172" fontId="7" fillId="0" borderId="43" xfId="0" applyNumberFormat="1" applyFont="1" applyBorder="1" applyAlignment="1">
      <alignment vertical="top"/>
    </xf>
    <xf numFmtId="0" fontId="6" fillId="0" borderId="10" xfId="0" applyFont="1" applyBorder="1" applyAlignment="1">
      <alignment horizontal="left" indent="1"/>
    </xf>
    <xf numFmtId="0" fontId="8" fillId="0" borderId="10" xfId="0" applyFont="1" applyBorder="1"/>
    <xf numFmtId="0" fontId="7" fillId="0" borderId="10" xfId="0" applyFont="1" applyBorder="1"/>
    <xf numFmtId="0" fontId="9" fillId="0" borderId="10" xfId="0" applyFont="1" applyBorder="1" applyAlignment="1">
      <alignment horizontal="center"/>
    </xf>
    <xf numFmtId="0" fontId="6" fillId="0" borderId="10" xfId="0" applyFont="1" applyBorder="1" applyAlignment="1">
      <alignment horizontal="center" vertical="top"/>
    </xf>
    <xf numFmtId="172" fontId="7" fillId="0" borderId="11" xfId="0" applyNumberFormat="1" applyFont="1" applyBorder="1"/>
    <xf numFmtId="172" fontId="7" fillId="0" borderId="12" xfId="0" applyNumberFormat="1" applyFont="1" applyBorder="1"/>
    <xf numFmtId="0" fontId="6" fillId="0" borderId="11" xfId="0" applyFont="1" applyBorder="1" applyAlignment="1">
      <alignment horizontal="left" indent="2"/>
    </xf>
    <xf numFmtId="0" fontId="6" fillId="0" borderId="68" xfId="0" applyFont="1" applyBorder="1" applyAlignment="1">
      <alignment horizontal="center"/>
    </xf>
    <xf numFmtId="0" fontId="7" fillId="0" borderId="56" xfId="0" applyFont="1" applyBorder="1"/>
    <xf numFmtId="0" fontId="6" fillId="0" borderId="20" xfId="0" applyFont="1" applyBorder="1" applyAlignment="1">
      <alignment horizontal="center"/>
    </xf>
    <xf numFmtId="0" fontId="10" fillId="0" borderId="11" xfId="0" applyFont="1" applyBorder="1" applyAlignment="1">
      <alignment horizontal="left" indent="2"/>
    </xf>
    <xf numFmtId="172" fontId="6" fillId="25" borderId="53" xfId="0" applyNumberFormat="1" applyFont="1" applyFill="1" applyBorder="1" applyProtection="1">
      <protection locked="0"/>
    </xf>
    <xf numFmtId="172" fontId="6" fillId="0" borderId="12" xfId="0" applyNumberFormat="1" applyFont="1" applyBorder="1"/>
    <xf numFmtId="172" fontId="6" fillId="0" borderId="11" xfId="0" applyNumberFormat="1" applyFont="1" applyBorder="1"/>
    <xf numFmtId="0" fontId="10" fillId="0" borderId="11" xfId="0" applyFont="1" applyBorder="1"/>
    <xf numFmtId="172" fontId="7" fillId="0" borderId="46" xfId="0" applyNumberFormat="1" applyFont="1" applyBorder="1"/>
    <xf numFmtId="172" fontId="7" fillId="0" borderId="69" xfId="0" applyNumberFormat="1" applyFont="1" applyBorder="1"/>
    <xf numFmtId="0" fontId="6" fillId="0" borderId="66" xfId="0" applyFont="1" applyBorder="1"/>
    <xf numFmtId="0" fontId="6" fillId="0" borderId="66" xfId="0" applyFont="1" applyBorder="1" applyAlignment="1">
      <alignment horizontal="center"/>
    </xf>
    <xf numFmtId="172" fontId="6" fillId="0" borderId="66" xfId="0" applyNumberFormat="1" applyFont="1" applyBorder="1"/>
    <xf numFmtId="0" fontId="5" fillId="0" borderId="13" xfId="0" applyFont="1" applyBorder="1" applyAlignment="1">
      <alignment horizontal="left"/>
    </xf>
    <xf numFmtId="49" fontId="7" fillId="0" borderId="34" xfId="0" applyNumberFormat="1" applyFont="1" applyBorder="1" applyAlignment="1">
      <alignment horizontal="center" vertical="center" wrapText="1"/>
    </xf>
    <xf numFmtId="0" fontId="7" fillId="0" borderId="33" xfId="0" applyFont="1" applyBorder="1" applyAlignment="1">
      <alignment vertical="center"/>
    </xf>
    <xf numFmtId="0" fontId="7" fillId="0" borderId="35" xfId="0" applyFont="1" applyBorder="1" applyAlignment="1">
      <alignment horizontal="center" vertical="center"/>
    </xf>
    <xf numFmtId="0" fontId="7" fillId="0" borderId="35"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16" xfId="0" applyFont="1" applyBorder="1" applyAlignment="1">
      <alignment horizontal="center" vertical="center" wrapText="1"/>
    </xf>
    <xf numFmtId="173" fontId="6" fillId="0" borderId="20" xfId="28" applyNumberFormat="1" applyFont="1" applyBorder="1"/>
    <xf numFmtId="173" fontId="6" fillId="0" borderId="12" xfId="28" applyNumberFormat="1" applyFont="1" applyBorder="1"/>
    <xf numFmtId="173" fontId="6" fillId="0" borderId="11" xfId="28" applyNumberFormat="1" applyFont="1" applyBorder="1"/>
    <xf numFmtId="173" fontId="6" fillId="0" borderId="42" xfId="28" applyNumberFormat="1" applyFont="1" applyBorder="1"/>
    <xf numFmtId="173" fontId="6" fillId="0" borderId="0" xfId="28" applyNumberFormat="1" applyFont="1"/>
    <xf numFmtId="173" fontId="6" fillId="25" borderId="20" xfId="28" applyNumberFormat="1" applyFont="1" applyFill="1" applyBorder="1" applyProtection="1">
      <protection locked="0"/>
    </xf>
    <xf numFmtId="173" fontId="6" fillId="25" borderId="12" xfId="28" applyNumberFormat="1" applyFont="1" applyFill="1" applyBorder="1" applyProtection="1">
      <protection locked="0"/>
    </xf>
    <xf numFmtId="173" fontId="6" fillId="25" borderId="11" xfId="28" applyNumberFormat="1" applyFont="1" applyFill="1" applyBorder="1" applyProtection="1">
      <protection locked="0"/>
    </xf>
    <xf numFmtId="173" fontId="6" fillId="25" borderId="42" xfId="28" applyNumberFormat="1" applyFont="1" applyFill="1" applyBorder="1" applyProtection="1">
      <protection locked="0"/>
    </xf>
    <xf numFmtId="173" fontId="6" fillId="25" borderId="0" xfId="28" applyNumberFormat="1" applyFont="1" applyFill="1" applyProtection="1">
      <protection locked="0"/>
    </xf>
    <xf numFmtId="173" fontId="10" fillId="0" borderId="20" xfId="28" applyNumberFormat="1" applyFont="1" applyBorder="1"/>
    <xf numFmtId="173" fontId="10" fillId="0" borderId="12" xfId="28" applyNumberFormat="1" applyFont="1" applyBorder="1"/>
    <xf numFmtId="173" fontId="10" fillId="0" borderId="11" xfId="28" applyNumberFormat="1" applyFont="1" applyBorder="1"/>
    <xf numFmtId="173" fontId="10" fillId="0" borderId="42" xfId="28" applyNumberFormat="1" applyFont="1" applyBorder="1"/>
    <xf numFmtId="173" fontId="10" fillId="0" borderId="0" xfId="28" applyNumberFormat="1" applyFont="1"/>
    <xf numFmtId="173" fontId="7" fillId="0" borderId="23" xfId="28" applyNumberFormat="1" applyFont="1" applyBorder="1"/>
    <xf numFmtId="173" fontId="7" fillId="0" borderId="27" xfId="28" applyNumberFormat="1" applyFont="1" applyBorder="1"/>
    <xf numFmtId="173" fontId="7" fillId="0" borderId="24" xfId="28" applyNumberFormat="1" applyFont="1" applyBorder="1"/>
    <xf numFmtId="173" fontId="7" fillId="0" borderId="51" xfId="28" applyNumberFormat="1" applyFont="1" applyBorder="1"/>
    <xf numFmtId="173" fontId="7" fillId="0" borderId="71" xfId="28" applyNumberFormat="1" applyFont="1" applyBorder="1"/>
    <xf numFmtId="174" fontId="7" fillId="0" borderId="20" xfId="28" applyNumberFormat="1" applyFont="1" applyBorder="1"/>
    <xf numFmtId="174" fontId="6" fillId="0" borderId="33" xfId="41" applyNumberFormat="1" applyFont="1" applyBorder="1" applyAlignment="1">
      <alignment horizontal="center"/>
    </xf>
    <xf numFmtId="174" fontId="6" fillId="0" borderId="41" xfId="41" applyNumberFormat="1" applyFont="1" applyBorder="1" applyAlignment="1">
      <alignment horizontal="center"/>
    </xf>
    <xf numFmtId="174" fontId="6" fillId="0" borderId="11" xfId="41" applyNumberFormat="1" applyFont="1" applyBorder="1" applyAlignment="1">
      <alignment horizontal="center"/>
    </xf>
    <xf numFmtId="174" fontId="6" fillId="0" borderId="20" xfId="41" applyNumberFormat="1" applyFont="1" applyBorder="1" applyAlignment="1">
      <alignment horizontal="center"/>
    </xf>
    <xf numFmtId="174" fontId="6" fillId="0" borderId="42" xfId="41" applyNumberFormat="1" applyFont="1" applyBorder="1" applyAlignment="1">
      <alignment horizontal="center"/>
    </xf>
    <xf numFmtId="174" fontId="6" fillId="0" borderId="0" xfId="41" applyNumberFormat="1" applyFont="1" applyAlignment="1">
      <alignment horizontal="center"/>
    </xf>
    <xf numFmtId="174" fontId="6" fillId="0" borderId="12" xfId="41" applyNumberFormat="1" applyFont="1" applyBorder="1" applyAlignment="1">
      <alignment horizontal="center"/>
    </xf>
    <xf numFmtId="173" fontId="7" fillId="25" borderId="20" xfId="28" applyNumberFormat="1" applyFont="1" applyFill="1" applyBorder="1" applyProtection="1">
      <protection locked="0"/>
    </xf>
    <xf numFmtId="173" fontId="7" fillId="25" borderId="20" xfId="28" applyNumberFormat="1" applyFont="1" applyFill="1" applyBorder="1" applyAlignment="1" applyProtection="1">
      <alignment horizontal="center"/>
      <protection locked="0"/>
    </xf>
    <xf numFmtId="173" fontId="7" fillId="25" borderId="12" xfId="28" applyNumberFormat="1" applyFont="1" applyFill="1" applyBorder="1" applyAlignment="1" applyProtection="1">
      <alignment horizontal="center"/>
      <protection locked="0"/>
    </xf>
    <xf numFmtId="173" fontId="7" fillId="25" borderId="11" xfId="41" applyNumberFormat="1" applyFont="1" applyFill="1" applyBorder="1" applyAlignment="1" applyProtection="1">
      <alignment horizontal="center"/>
      <protection locked="0"/>
    </xf>
    <xf numFmtId="173" fontId="7" fillId="25" borderId="20" xfId="41" applyNumberFormat="1" applyFont="1" applyFill="1" applyBorder="1" applyAlignment="1" applyProtection="1">
      <alignment horizontal="center"/>
      <protection locked="0"/>
    </xf>
    <xf numFmtId="173" fontId="7" fillId="25" borderId="42" xfId="41" applyNumberFormat="1" applyFont="1" applyFill="1" applyBorder="1" applyAlignment="1" applyProtection="1">
      <alignment horizontal="center"/>
      <protection locked="0"/>
    </xf>
    <xf numFmtId="173" fontId="7" fillId="25" borderId="0" xfId="41" applyNumberFormat="1" applyFont="1" applyFill="1" applyAlignment="1" applyProtection="1">
      <alignment horizontal="center"/>
      <protection locked="0"/>
    </xf>
    <xf numFmtId="173" fontId="7" fillId="25" borderId="12" xfId="41" applyNumberFormat="1" applyFont="1" applyFill="1" applyBorder="1" applyAlignment="1" applyProtection="1">
      <alignment horizontal="center"/>
      <protection locked="0"/>
    </xf>
    <xf numFmtId="0" fontId="6" fillId="0" borderId="35" xfId="0" applyFont="1" applyBorder="1" applyAlignment="1">
      <alignment horizontal="center"/>
    </xf>
    <xf numFmtId="173" fontId="7" fillId="25" borderId="35" xfId="28" applyNumberFormat="1" applyFont="1" applyFill="1" applyBorder="1" applyProtection="1">
      <protection locked="0"/>
    </xf>
    <xf numFmtId="173" fontId="7" fillId="25" borderId="35" xfId="28" applyNumberFormat="1" applyFont="1" applyFill="1" applyBorder="1" applyAlignment="1" applyProtection="1">
      <alignment horizontal="center"/>
      <protection locked="0"/>
    </xf>
    <xf numFmtId="173" fontId="7" fillId="25" borderId="16" xfId="28" applyNumberFormat="1" applyFont="1" applyFill="1" applyBorder="1" applyAlignment="1" applyProtection="1">
      <alignment horizontal="center"/>
      <protection locked="0"/>
    </xf>
    <xf numFmtId="0" fontId="6" fillId="0" borderId="0" xfId="0" applyFont="1" applyAlignment="1" applyProtection="1">
      <alignment horizontal="center"/>
      <protection locked="0"/>
    </xf>
    <xf numFmtId="169" fontId="6" fillId="0" borderId="0" xfId="0" applyNumberFormat="1" applyFont="1" applyProtection="1">
      <protection locked="0"/>
    </xf>
    <xf numFmtId="0" fontId="6" fillId="0" borderId="0" xfId="0" applyFont="1" applyProtection="1">
      <protection locked="0"/>
    </xf>
    <xf numFmtId="0" fontId="7" fillId="0" borderId="10" xfId="0" applyFont="1" applyBorder="1" applyAlignment="1">
      <alignment wrapText="1"/>
    </xf>
    <xf numFmtId="9" fontId="7" fillId="0" borderId="30" xfId="41" applyFont="1" applyBorder="1" applyAlignment="1">
      <alignment horizontal="center" vertical="center" wrapText="1"/>
    </xf>
    <xf numFmtId="0" fontId="7" fillId="0" borderId="49" xfId="0" applyFont="1" applyBorder="1" applyAlignment="1">
      <alignment horizontal="center" vertical="center" wrapText="1"/>
    </xf>
    <xf numFmtId="0" fontId="7" fillId="0" borderId="65" xfId="0" applyFont="1" applyBorder="1" applyAlignment="1">
      <alignment horizontal="center" vertical="center"/>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56" xfId="0" applyFont="1" applyBorder="1" applyAlignment="1">
      <alignment horizontal="left" vertical="center" wrapText="1"/>
    </xf>
    <xf numFmtId="0" fontId="7" fillId="0" borderId="15" xfId="0" applyFont="1" applyBorder="1" applyAlignment="1">
      <alignment horizontal="left" vertical="center"/>
    </xf>
    <xf numFmtId="0" fontId="7" fillId="0" borderId="28" xfId="0" applyFont="1" applyBorder="1" applyAlignment="1">
      <alignment horizontal="left" wrapText="1"/>
    </xf>
    <xf numFmtId="172" fontId="7" fillId="0" borderId="57" xfId="0" applyNumberFormat="1" applyFont="1" applyBorder="1"/>
    <xf numFmtId="172" fontId="7" fillId="0" borderId="58" xfId="0" applyNumberFormat="1" applyFont="1" applyBorder="1"/>
    <xf numFmtId="172" fontId="7" fillId="0" borderId="62" xfId="0" applyNumberFormat="1" applyFont="1" applyBorder="1"/>
    <xf numFmtId="0" fontId="17" fillId="0" borderId="0" xfId="38"/>
    <xf numFmtId="0" fontId="0" fillId="0" borderId="0" xfId="0" applyProtection="1">
      <protection locked="0"/>
    </xf>
    <xf numFmtId="172" fontId="7" fillId="0" borderId="30" xfId="0" applyNumberFormat="1" applyFont="1" applyBorder="1" applyAlignment="1">
      <alignment vertical="top"/>
    </xf>
    <xf numFmtId="172" fontId="7" fillId="0" borderId="29" xfId="0" applyNumberFormat="1" applyFont="1" applyBorder="1" applyAlignment="1">
      <alignment vertical="top"/>
    </xf>
    <xf numFmtId="172" fontId="7" fillId="0" borderId="49" xfId="0" applyNumberFormat="1" applyFont="1" applyBorder="1" applyAlignment="1">
      <alignment vertical="top"/>
    </xf>
    <xf numFmtId="0" fontId="13" fillId="0" borderId="0" xfId="0" applyFont="1"/>
    <xf numFmtId="172" fontId="6" fillId="0" borderId="46" xfId="0" applyNumberFormat="1" applyFont="1" applyBorder="1"/>
    <xf numFmtId="172" fontId="6" fillId="0" borderId="69" xfId="0" applyNumberFormat="1" applyFont="1" applyBorder="1"/>
    <xf numFmtId="172" fontId="6" fillId="0" borderId="53" xfId="0" applyNumberFormat="1" applyFont="1" applyBorder="1"/>
    <xf numFmtId="0" fontId="2" fillId="25" borderId="18" xfId="0" applyFont="1" applyFill="1" applyBorder="1" applyProtection="1">
      <protection locked="0"/>
    </xf>
    <xf numFmtId="0" fontId="2" fillId="25" borderId="12" xfId="0" applyFont="1" applyFill="1" applyBorder="1" applyProtection="1">
      <protection locked="0"/>
    </xf>
    <xf numFmtId="0" fontId="0" fillId="25" borderId="0" xfId="0" applyFill="1" applyProtection="1">
      <protection locked="0"/>
    </xf>
    <xf numFmtId="0" fontId="1" fillId="25" borderId="0" xfId="0" applyFont="1" applyFill="1" applyProtection="1">
      <protection locked="0"/>
    </xf>
    <xf numFmtId="17" fontId="2" fillId="25" borderId="66" xfId="0" applyNumberFormat="1" applyFont="1" applyFill="1" applyBorder="1" applyProtection="1">
      <protection locked="0"/>
    </xf>
    <xf numFmtId="0" fontId="2" fillId="25" borderId="66" xfId="0" applyFont="1" applyFill="1" applyBorder="1" applyProtection="1">
      <protection locked="0"/>
    </xf>
    <xf numFmtId="0" fontId="2" fillId="25" borderId="0" xfId="0" quotePrefix="1" applyFont="1" applyFill="1" applyProtection="1">
      <protection locked="0"/>
    </xf>
    <xf numFmtId="0" fontId="2" fillId="25" borderId="0" xfId="0" applyFont="1" applyFill="1" applyProtection="1">
      <protection locked="0"/>
    </xf>
    <xf numFmtId="9" fontId="6" fillId="25" borderId="0" xfId="41" applyFont="1" applyFill="1" applyAlignment="1" applyProtection="1">
      <alignment horizontal="center"/>
      <protection locked="0"/>
    </xf>
    <xf numFmtId="0" fontId="7" fillId="0" borderId="10" xfId="0" applyFont="1" applyBorder="1" applyAlignment="1">
      <alignment horizontal="left" wrapText="1"/>
    </xf>
    <xf numFmtId="0" fontId="6" fillId="0" borderId="10" xfId="0" applyFont="1" applyBorder="1" applyAlignment="1">
      <alignment horizontal="left" vertical="top" indent="1"/>
    </xf>
    <xf numFmtId="172" fontId="6" fillId="25" borderId="49" xfId="0" applyNumberFormat="1" applyFont="1" applyFill="1" applyBorder="1" applyProtection="1">
      <protection locked="0"/>
    </xf>
    <xf numFmtId="0" fontId="6" fillId="29" borderId="23" xfId="0" applyFont="1" applyFill="1" applyBorder="1" applyAlignment="1">
      <alignment horizontal="center"/>
    </xf>
    <xf numFmtId="9" fontId="6" fillId="29" borderId="21" xfId="0" applyNumberFormat="1" applyFont="1" applyFill="1" applyBorder="1" applyAlignment="1">
      <alignment horizontal="center" vertical="top" wrapText="1"/>
    </xf>
    <xf numFmtId="0" fontId="7" fillId="29" borderId="64" xfId="0" applyFont="1" applyFill="1" applyBorder="1" applyAlignment="1">
      <alignment horizontal="center"/>
    </xf>
    <xf numFmtId="0" fontId="7" fillId="29" borderId="23" xfId="0" applyFont="1" applyFill="1" applyBorder="1" applyAlignment="1">
      <alignment horizontal="center"/>
    </xf>
    <xf numFmtId="0" fontId="7" fillId="29" borderId="51" xfId="0" applyFont="1" applyFill="1" applyBorder="1" applyAlignment="1">
      <alignment horizontal="center"/>
    </xf>
    <xf numFmtId="0" fontId="37" fillId="0" borderId="0" xfId="0" applyFont="1" applyAlignment="1">
      <alignment wrapText="1"/>
    </xf>
    <xf numFmtId="0" fontId="38" fillId="0" borderId="0" xfId="0" applyFont="1"/>
    <xf numFmtId="172" fontId="7" fillId="29" borderId="51" xfId="0" applyNumberFormat="1" applyFont="1" applyFill="1" applyBorder="1"/>
    <xf numFmtId="0" fontId="10" fillId="30" borderId="47" xfId="0" applyFont="1" applyFill="1" applyBorder="1" applyAlignment="1" applyProtection="1">
      <alignment horizontal="left" wrapText="1"/>
      <protection locked="0"/>
    </xf>
    <xf numFmtId="0" fontId="7" fillId="0" borderId="1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65" xfId="0" applyFont="1" applyBorder="1" applyAlignment="1">
      <alignment vertical="center"/>
    </xf>
    <xf numFmtId="0" fontId="7" fillId="0" borderId="41" xfId="0" applyFont="1" applyBorder="1" applyAlignment="1">
      <alignment vertical="center"/>
    </xf>
    <xf numFmtId="0" fontId="6" fillId="0" borderId="42" xfId="0" applyFont="1" applyBorder="1" applyAlignment="1">
      <alignment horizontal="center"/>
    </xf>
    <xf numFmtId="0" fontId="6" fillId="0" borderId="51" xfId="0" applyFont="1" applyBorder="1" applyAlignment="1">
      <alignment horizontal="center"/>
    </xf>
    <xf numFmtId="0" fontId="6" fillId="0" borderId="72" xfId="0" applyFont="1" applyBorder="1" applyAlignment="1">
      <alignment horizontal="center"/>
    </xf>
    <xf numFmtId="172" fontId="6" fillId="0" borderId="58" xfId="0" applyNumberFormat="1" applyFont="1" applyBorder="1"/>
    <xf numFmtId="0" fontId="8" fillId="0" borderId="0" xfId="0" applyFont="1" applyAlignment="1">
      <alignment horizontal="center"/>
    </xf>
    <xf numFmtId="172" fontId="10" fillId="0" borderId="0" xfId="0" applyNumberFormat="1" applyFont="1"/>
    <xf numFmtId="172" fontId="10" fillId="0" borderId="0" xfId="0" applyNumberFormat="1" applyFont="1" applyProtection="1">
      <protection locked="0"/>
    </xf>
    <xf numFmtId="0" fontId="39" fillId="0" borderId="0" xfId="0" applyFont="1"/>
    <xf numFmtId="0" fontId="6" fillId="0" borderId="11" xfId="0" applyFont="1" applyBorder="1" applyAlignment="1">
      <alignment horizontal="left" wrapText="1" indent="1"/>
    </xf>
    <xf numFmtId="172" fontId="6" fillId="30" borderId="20" xfId="0" applyNumberFormat="1" applyFont="1" applyFill="1" applyBorder="1" applyProtection="1">
      <protection locked="0"/>
    </xf>
    <xf numFmtId="172" fontId="6" fillId="30" borderId="12" xfId="0" applyNumberFormat="1" applyFont="1" applyFill="1" applyBorder="1" applyProtection="1">
      <protection locked="0"/>
    </xf>
    <xf numFmtId="172" fontId="6" fillId="30" borderId="11" xfId="0" applyNumberFormat="1" applyFont="1" applyFill="1" applyBorder="1" applyProtection="1">
      <protection locked="0"/>
    </xf>
    <xf numFmtId="172" fontId="6" fillId="30" borderId="0" xfId="0" applyNumberFormat="1" applyFont="1" applyFill="1" applyProtection="1">
      <protection locked="0"/>
    </xf>
    <xf numFmtId="0" fontId="6" fillId="0" borderId="0" xfId="0" applyFont="1" applyAlignment="1">
      <alignment wrapText="1"/>
    </xf>
    <xf numFmtId="172" fontId="6" fillId="30" borderId="31" xfId="0" applyNumberFormat="1" applyFont="1" applyFill="1" applyBorder="1" applyProtection="1">
      <protection locked="0"/>
    </xf>
    <xf numFmtId="172" fontId="6" fillId="30" borderId="21" xfId="0" applyNumberFormat="1" applyFont="1" applyFill="1" applyBorder="1" applyProtection="1">
      <protection locked="0"/>
    </xf>
    <xf numFmtId="172" fontId="6" fillId="30" borderId="42" xfId="0" applyNumberFormat="1" applyFont="1" applyFill="1" applyBorder="1" applyProtection="1">
      <protection locked="0"/>
    </xf>
    <xf numFmtId="172" fontId="6" fillId="30" borderId="53" xfId="0" applyNumberFormat="1" applyFont="1" applyFill="1" applyBorder="1" applyProtection="1">
      <protection locked="0"/>
    </xf>
    <xf numFmtId="172" fontId="6" fillId="0" borderId="0" xfId="0" applyNumberFormat="1" applyFont="1" applyProtection="1">
      <protection locked="0"/>
    </xf>
    <xf numFmtId="172" fontId="7" fillId="30" borderId="29" xfId="0" applyNumberFormat="1" applyFont="1" applyFill="1" applyBorder="1" applyProtection="1">
      <protection locked="0"/>
    </xf>
    <xf numFmtId="172" fontId="7" fillId="30" borderId="73" xfId="0" applyNumberFormat="1" applyFont="1" applyFill="1" applyBorder="1" applyProtection="1">
      <protection locked="0"/>
    </xf>
    <xf numFmtId="172" fontId="7" fillId="30" borderId="67" xfId="0" applyNumberFormat="1" applyFont="1" applyFill="1" applyBorder="1" applyProtection="1">
      <protection locked="0"/>
    </xf>
    <xf numFmtId="172" fontId="7" fillId="30" borderId="60" xfId="0" applyNumberFormat="1" applyFont="1" applyFill="1" applyBorder="1" applyProtection="1">
      <protection locked="0"/>
    </xf>
    <xf numFmtId="172" fontId="7" fillId="30" borderId="20" xfId="0" applyNumberFormat="1" applyFont="1" applyFill="1" applyBorder="1" applyProtection="1">
      <protection locked="0"/>
    </xf>
    <xf numFmtId="172" fontId="7" fillId="30" borderId="12" xfId="0" applyNumberFormat="1" applyFont="1" applyFill="1" applyBorder="1" applyProtection="1">
      <protection locked="0"/>
    </xf>
    <xf numFmtId="172" fontId="7" fillId="30" borderId="11" xfId="0" applyNumberFormat="1" applyFont="1" applyFill="1" applyBorder="1" applyProtection="1">
      <protection locked="0"/>
    </xf>
    <xf numFmtId="172" fontId="7" fillId="30" borderId="0" xfId="0" applyNumberFormat="1" applyFont="1" applyFill="1" applyProtection="1">
      <protection locked="0"/>
    </xf>
    <xf numFmtId="172" fontId="6" fillId="30" borderId="29" xfId="0" applyNumberFormat="1" applyFont="1" applyFill="1" applyBorder="1" applyProtection="1">
      <protection locked="0"/>
    </xf>
    <xf numFmtId="172" fontId="6" fillId="30" borderId="73" xfId="0" applyNumberFormat="1" applyFont="1" applyFill="1" applyBorder="1" applyProtection="1">
      <protection locked="0"/>
    </xf>
    <xf numFmtId="172" fontId="6" fillId="30" borderId="67" xfId="0" applyNumberFormat="1" applyFont="1" applyFill="1" applyBorder="1" applyProtection="1">
      <protection locked="0"/>
    </xf>
    <xf numFmtId="172" fontId="6" fillId="30" borderId="60" xfId="0" applyNumberFormat="1" applyFont="1" applyFill="1" applyBorder="1" applyProtection="1">
      <protection locked="0"/>
    </xf>
    <xf numFmtId="0" fontId="6" fillId="0" borderId="23" xfId="0" applyFont="1" applyBorder="1" applyAlignment="1">
      <alignment horizontal="center"/>
    </xf>
    <xf numFmtId="172" fontId="7" fillId="0" borderId="74" xfId="0" applyNumberFormat="1" applyFont="1" applyBorder="1"/>
    <xf numFmtId="172" fontId="7" fillId="0" borderId="22" xfId="0" applyNumberFormat="1" applyFont="1" applyBorder="1"/>
    <xf numFmtId="172" fontId="7" fillId="0" borderId="64" xfId="0" applyNumberFormat="1" applyFont="1" applyBorder="1"/>
    <xf numFmtId="0" fontId="6" fillId="0" borderId="31" xfId="0" applyFont="1" applyBorder="1" applyAlignment="1">
      <alignment horizontal="center"/>
    </xf>
    <xf numFmtId="0" fontId="38" fillId="0" borderId="11" xfId="0" applyFont="1" applyBorder="1" applyAlignment="1">
      <alignment horizontal="center"/>
    </xf>
    <xf numFmtId="0" fontId="38" fillId="0" borderId="12" xfId="0" applyFont="1" applyBorder="1" applyAlignment="1">
      <alignment horizontal="center"/>
    </xf>
    <xf numFmtId="0" fontId="6" fillId="0" borderId="14" xfId="0" applyFont="1" applyBorder="1" applyAlignment="1">
      <alignment horizontal="center"/>
    </xf>
    <xf numFmtId="172" fontId="6" fillId="0" borderId="75" xfId="0" applyNumberFormat="1" applyFont="1" applyBorder="1"/>
    <xf numFmtId="172" fontId="6" fillId="0" borderId="56" xfId="0" applyNumberFormat="1" applyFont="1" applyBorder="1"/>
    <xf numFmtId="172" fontId="6" fillId="0" borderId="61" xfId="0" applyNumberFormat="1" applyFont="1" applyBorder="1"/>
    <xf numFmtId="0" fontId="7" fillId="0" borderId="78"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42" xfId="0" applyFont="1" applyBorder="1" applyAlignment="1">
      <alignment horizontal="center" vertical="center" wrapText="1"/>
    </xf>
    <xf numFmtId="0" fontId="6" fillId="30" borderId="20" xfId="0" applyFont="1" applyFill="1" applyBorder="1" applyAlignment="1" applyProtection="1">
      <alignment horizontal="center" vertical="top" wrapText="1"/>
      <protection locked="0"/>
    </xf>
    <xf numFmtId="0" fontId="6" fillId="0" borderId="21" xfId="41" applyNumberFormat="1" applyFont="1" applyBorder="1" applyAlignment="1">
      <alignment horizontal="center" vertical="top" wrapText="1"/>
    </xf>
    <xf numFmtId="0" fontId="6" fillId="0" borderId="20" xfId="41" applyNumberFormat="1" applyFont="1" applyBorder="1" applyAlignment="1">
      <alignment horizontal="center" vertical="top" wrapText="1"/>
    </xf>
    <xf numFmtId="0" fontId="6" fillId="0" borderId="12" xfId="41" applyNumberFormat="1" applyFont="1" applyBorder="1" applyAlignment="1">
      <alignment horizontal="center" vertical="top" wrapText="1"/>
    </xf>
    <xf numFmtId="0" fontId="7" fillId="0" borderId="34" xfId="0" applyFont="1" applyBorder="1" applyAlignment="1">
      <alignment horizontal="left" vertical="center"/>
    </xf>
    <xf numFmtId="0" fontId="7" fillId="0" borderId="33" xfId="0" applyFont="1" applyBorder="1" applyAlignment="1">
      <alignment horizontal="center" wrapText="1"/>
    </xf>
    <xf numFmtId="0" fontId="7" fillId="0" borderId="72" xfId="0" applyFont="1" applyBorder="1" applyAlignment="1">
      <alignment horizontal="center" wrapText="1"/>
    </xf>
    <xf numFmtId="0" fontId="7" fillId="0" borderId="0" xfId="0" applyFont="1" applyAlignment="1">
      <alignment horizontal="center" vertical="center"/>
    </xf>
    <xf numFmtId="0" fontId="7" fillId="0" borderId="79"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51" xfId="0" applyFont="1" applyBorder="1" applyAlignment="1">
      <alignment horizontal="center" vertical="center" wrapText="1"/>
    </xf>
    <xf numFmtId="0" fontId="6" fillId="0" borderId="0" xfId="0" applyFont="1" applyAlignment="1">
      <alignment horizontal="center" vertical="center"/>
    </xf>
    <xf numFmtId="0" fontId="7" fillId="0" borderId="20" xfId="0" applyFont="1" applyBorder="1" applyAlignment="1">
      <alignment horizontal="center"/>
    </xf>
    <xf numFmtId="173" fontId="7" fillId="0" borderId="20" xfId="28" applyNumberFormat="1" applyFont="1" applyBorder="1" applyAlignment="1">
      <alignment horizontal="center"/>
    </xf>
    <xf numFmtId="0" fontId="10" fillId="0" borderId="20" xfId="0" applyFont="1" applyBorder="1" applyAlignment="1">
      <alignment horizontal="center"/>
    </xf>
    <xf numFmtId="0" fontId="10" fillId="0" borderId="31" xfId="0" applyFont="1" applyBorder="1" applyAlignment="1">
      <alignment horizontal="center"/>
    </xf>
    <xf numFmtId="0" fontId="10" fillId="0" borderId="42" xfId="0" applyFont="1" applyBorder="1" applyAlignment="1">
      <alignment horizontal="center"/>
    </xf>
    <xf numFmtId="0" fontId="10" fillId="0" borderId="11" xfId="0" applyFont="1" applyBorder="1" applyAlignment="1">
      <alignment horizontal="left" indent="1"/>
    </xf>
    <xf numFmtId="172" fontId="7" fillId="0" borderId="20" xfId="0" applyNumberFormat="1" applyFont="1" applyBorder="1" applyAlignment="1">
      <alignment horizontal="center"/>
    </xf>
    <xf numFmtId="172" fontId="7" fillId="0" borderId="0" xfId="0" applyNumberFormat="1" applyFont="1" applyAlignment="1">
      <alignment horizontal="center"/>
    </xf>
    <xf numFmtId="172" fontId="7" fillId="0" borderId="11" xfId="0" applyNumberFormat="1" applyFont="1" applyBorder="1" applyAlignment="1">
      <alignment horizontal="center"/>
    </xf>
    <xf numFmtId="172" fontId="7" fillId="0" borderId="12" xfId="0" applyNumberFormat="1" applyFont="1" applyBorder="1" applyAlignment="1">
      <alignment horizontal="center"/>
    </xf>
    <xf numFmtId="0" fontId="7" fillId="30" borderId="11" xfId="0" applyFont="1" applyFill="1" applyBorder="1" applyProtection="1">
      <protection locked="0"/>
    </xf>
    <xf numFmtId="0" fontId="7" fillId="30" borderId="20" xfId="0" applyFont="1" applyFill="1" applyBorder="1" applyAlignment="1" applyProtection="1">
      <alignment horizontal="center"/>
      <protection locked="0"/>
    </xf>
    <xf numFmtId="173" fontId="7" fillId="30" borderId="20" xfId="28" applyNumberFormat="1" applyFont="1" applyFill="1" applyBorder="1" applyAlignment="1" applyProtection="1">
      <alignment horizontal="center"/>
      <protection locked="0"/>
    </xf>
    <xf numFmtId="0" fontId="10" fillId="30" borderId="20" xfId="0" applyFont="1" applyFill="1" applyBorder="1" applyAlignment="1" applyProtection="1">
      <alignment horizontal="center"/>
      <protection locked="0"/>
    </xf>
    <xf numFmtId="0" fontId="10" fillId="30" borderId="0" xfId="0" applyFont="1" applyFill="1" applyAlignment="1" applyProtection="1">
      <alignment horizontal="center"/>
      <protection locked="0"/>
    </xf>
    <xf numFmtId="0" fontId="6" fillId="30" borderId="20" xfId="0" applyFont="1" applyFill="1" applyBorder="1" applyProtection="1">
      <protection locked="0"/>
    </xf>
    <xf numFmtId="0" fontId="10" fillId="30" borderId="42" xfId="0" applyFont="1" applyFill="1" applyBorder="1" applyAlignment="1" applyProtection="1">
      <alignment horizontal="center"/>
      <protection locked="0"/>
    </xf>
    <xf numFmtId="0" fontId="6" fillId="30" borderId="11" xfId="0" applyFont="1" applyFill="1" applyBorder="1" applyAlignment="1" applyProtection="1">
      <alignment horizontal="left" indent="1"/>
      <protection locked="0"/>
    </xf>
    <xf numFmtId="173" fontId="6" fillId="30" borderId="20" xfId="28" applyNumberFormat="1" applyFont="1" applyFill="1" applyBorder="1" applyAlignment="1" applyProtection="1">
      <alignment horizontal="center"/>
      <protection locked="0"/>
    </xf>
    <xf numFmtId="0" fontId="6" fillId="30" borderId="11" xfId="0" applyFont="1" applyFill="1" applyBorder="1" applyProtection="1">
      <protection locked="0"/>
    </xf>
    <xf numFmtId="173" fontId="6" fillId="30" borderId="20" xfId="0" applyNumberFormat="1" applyFont="1" applyFill="1" applyBorder="1" applyProtection="1">
      <protection locked="0"/>
    </xf>
    <xf numFmtId="0" fontId="7" fillId="0" borderId="25" xfId="0" applyFont="1" applyBorder="1"/>
    <xf numFmtId="169" fontId="7" fillId="0" borderId="55" xfId="0" applyNumberFormat="1" applyFont="1" applyBorder="1"/>
    <xf numFmtId="169" fontId="7" fillId="0" borderId="45" xfId="0" applyNumberFormat="1" applyFont="1" applyBorder="1"/>
    <xf numFmtId="169" fontId="7" fillId="0" borderId="80" xfId="0" applyNumberFormat="1" applyFont="1" applyBorder="1"/>
    <xf numFmtId="0" fontId="7" fillId="0" borderId="34" xfId="0" applyFont="1" applyBorder="1"/>
    <xf numFmtId="0" fontId="7" fillId="0" borderId="39" xfId="0" applyFont="1" applyBorder="1" applyAlignment="1">
      <alignment horizontal="center" vertical="center" wrapText="1"/>
    </xf>
    <xf numFmtId="172" fontId="7" fillId="0" borderId="10" xfId="0" applyNumberFormat="1" applyFont="1" applyBorder="1" applyAlignment="1">
      <alignment horizontal="center"/>
    </xf>
    <xf numFmtId="0" fontId="10" fillId="30" borderId="11" xfId="0" applyFont="1" applyFill="1" applyBorder="1" applyAlignment="1" applyProtection="1">
      <alignment horizontal="left" indent="1"/>
      <protection locked="0"/>
    </xf>
    <xf numFmtId="172" fontId="7" fillId="30" borderId="20" xfId="0" applyNumberFormat="1" applyFont="1" applyFill="1" applyBorder="1" applyAlignment="1" applyProtection="1">
      <alignment horizontal="center"/>
      <protection locked="0"/>
    </xf>
    <xf numFmtId="172" fontId="7" fillId="30" borderId="0" xfId="0" applyNumberFormat="1" applyFont="1" applyFill="1" applyAlignment="1" applyProtection="1">
      <alignment horizontal="center"/>
      <protection locked="0"/>
    </xf>
    <xf numFmtId="172" fontId="7" fillId="30" borderId="11" xfId="0" applyNumberFormat="1" applyFont="1" applyFill="1" applyBorder="1" applyAlignment="1" applyProtection="1">
      <alignment horizontal="center"/>
      <protection locked="0"/>
    </xf>
    <xf numFmtId="172" fontId="7" fillId="30" borderId="12" xfId="0" applyNumberFormat="1" applyFont="1" applyFill="1" applyBorder="1" applyAlignment="1" applyProtection="1">
      <alignment horizontal="center"/>
      <protection locked="0"/>
    </xf>
    <xf numFmtId="172" fontId="7" fillId="0" borderId="60" xfId="0" applyNumberFormat="1" applyFont="1" applyBorder="1"/>
    <xf numFmtId="172" fontId="7" fillId="0" borderId="67" xfId="0" applyNumberFormat="1" applyFont="1" applyBorder="1"/>
    <xf numFmtId="172" fontId="7" fillId="0" borderId="73" xfId="0" applyNumberFormat="1" applyFont="1" applyBorder="1"/>
    <xf numFmtId="172" fontId="6" fillId="0" borderId="68" xfId="0" applyNumberFormat="1" applyFont="1" applyBorder="1"/>
    <xf numFmtId="172" fontId="6" fillId="0" borderId="60" xfId="0" applyNumberFormat="1" applyFont="1" applyBorder="1"/>
    <xf numFmtId="172" fontId="6" fillId="0" borderId="67" xfId="0" applyNumberFormat="1" applyFont="1" applyBorder="1"/>
    <xf numFmtId="172" fontId="6" fillId="0" borderId="73" xfId="0" applyNumberFormat="1" applyFont="1" applyBorder="1"/>
    <xf numFmtId="0" fontId="7" fillId="0" borderId="0" xfId="0" applyFont="1" applyProtection="1">
      <protection locked="0"/>
    </xf>
    <xf numFmtId="169" fontId="7" fillId="0" borderId="0" xfId="0" applyNumberFormat="1" applyFont="1" applyProtection="1">
      <protection locked="0"/>
    </xf>
    <xf numFmtId="172" fontId="7" fillId="0" borderId="20" xfId="0" applyNumberFormat="1" applyFont="1" applyBorder="1" applyProtection="1">
      <protection locked="0"/>
    </xf>
    <xf numFmtId="172" fontId="6" fillId="0" borderId="79" xfId="0" applyNumberFormat="1" applyFont="1" applyBorder="1"/>
    <xf numFmtId="0" fontId="6" fillId="0" borderId="69" xfId="0" applyFont="1" applyBorder="1"/>
    <xf numFmtId="0" fontId="6" fillId="0" borderId="29" xfId="0" applyFont="1" applyBorder="1"/>
    <xf numFmtId="0" fontId="6" fillId="0" borderId="49" xfId="0" applyFont="1" applyBorder="1"/>
    <xf numFmtId="0" fontId="6" fillId="0" borderId="30" xfId="0" applyFont="1" applyBorder="1"/>
    <xf numFmtId="0" fontId="7" fillId="0" borderId="72" xfId="0" applyFont="1" applyBorder="1" applyAlignment="1">
      <alignment horizontal="center" vertical="center"/>
    </xf>
    <xf numFmtId="0" fontId="7" fillId="0" borderId="72" xfId="0" applyFont="1" applyBorder="1" applyAlignment="1">
      <alignment horizontal="center" vertical="center" wrapText="1"/>
    </xf>
    <xf numFmtId="0" fontId="7" fillId="0" borderId="15" xfId="0" applyFont="1" applyBorder="1" applyAlignment="1">
      <alignment horizontal="center" vertical="center"/>
    </xf>
    <xf numFmtId="0" fontId="7" fillId="0" borderId="79" xfId="0" applyFont="1" applyBorder="1" applyAlignment="1">
      <alignment horizontal="center" vertical="center"/>
    </xf>
    <xf numFmtId="0" fontId="7" fillId="0" borderId="35" xfId="0" applyFont="1" applyBorder="1" applyAlignment="1">
      <alignment horizontal="center" vertical="top" wrapText="1"/>
    </xf>
    <xf numFmtId="0" fontId="7" fillId="0" borderId="20" xfId="0" applyFont="1" applyBorder="1" applyAlignment="1">
      <alignment horizontal="center" vertical="center" wrapText="1"/>
    </xf>
    <xf numFmtId="175" fontId="6" fillId="30" borderId="42" xfId="0" applyNumberFormat="1" applyFont="1" applyFill="1" applyBorder="1" applyAlignment="1" applyProtection="1">
      <alignment horizontal="center"/>
      <protection locked="0"/>
    </xf>
    <xf numFmtId="175" fontId="6" fillId="0" borderId="48" xfId="0" applyNumberFormat="1" applyFont="1" applyBorder="1" applyAlignment="1">
      <alignment horizontal="center"/>
    </xf>
    <xf numFmtId="172" fontId="7" fillId="0" borderId="71" xfId="0" applyNumberFormat="1" applyFont="1" applyBorder="1"/>
    <xf numFmtId="0" fontId="6" fillId="30" borderId="42" xfId="0" applyFont="1" applyFill="1" applyBorder="1" applyAlignment="1" applyProtection="1">
      <alignment horizontal="center" vertical="top" wrapText="1"/>
      <protection locked="0"/>
    </xf>
    <xf numFmtId="0" fontId="6" fillId="30" borderId="21" xfId="0" applyFont="1" applyFill="1" applyBorder="1" applyAlignment="1" applyProtection="1">
      <alignment horizontal="center" vertical="top" wrapText="1"/>
      <protection locked="0"/>
    </xf>
    <xf numFmtId="0" fontId="6" fillId="0" borderId="11" xfId="41" applyNumberFormat="1" applyFont="1" applyBorder="1" applyAlignment="1" applyProtection="1">
      <alignment horizontal="center" vertical="top" wrapText="1"/>
      <protection locked="0"/>
    </xf>
    <xf numFmtId="168" fontId="6" fillId="0" borderId="11" xfId="0" applyNumberFormat="1" applyFont="1" applyBorder="1" applyAlignment="1">
      <alignment horizontal="center" vertical="top" wrapText="1"/>
    </xf>
    <xf numFmtId="168" fontId="6" fillId="0" borderId="12" xfId="0" applyNumberFormat="1" applyFont="1" applyBorder="1" applyAlignment="1">
      <alignment horizontal="center" vertical="top" wrapText="1"/>
    </xf>
    <xf numFmtId="9" fontId="6" fillId="0" borderId="21" xfId="41" applyFont="1" applyBorder="1" applyAlignment="1" applyProtection="1">
      <alignment horizontal="center" vertical="top" wrapText="1"/>
      <protection locked="0"/>
    </xf>
    <xf numFmtId="9" fontId="6" fillId="0" borderId="20" xfId="41" applyFont="1" applyBorder="1" applyAlignment="1" applyProtection="1">
      <alignment horizontal="center" vertical="top" wrapText="1"/>
      <protection locked="0"/>
    </xf>
    <xf numFmtId="9" fontId="6" fillId="0" borderId="42" xfId="41" applyFont="1" applyBorder="1" applyAlignment="1" applyProtection="1">
      <alignment horizontal="center" vertical="top" wrapText="1"/>
      <protection locked="0"/>
    </xf>
    <xf numFmtId="0" fontId="6" fillId="0" borderId="31" xfId="0" applyFont="1" applyBorder="1" applyAlignment="1">
      <alignment horizontal="left" vertical="top" wrapText="1"/>
    </xf>
    <xf numFmtId="0" fontId="6" fillId="0" borderId="59" xfId="0" applyFont="1" applyBorder="1" applyAlignment="1">
      <alignment horizontal="left" vertical="top" wrapText="1"/>
    </xf>
    <xf numFmtId="0" fontId="6" fillId="0" borderId="46" xfId="0" applyFont="1" applyBorder="1" applyAlignment="1">
      <alignment horizontal="left" vertical="top" wrapText="1"/>
    </xf>
    <xf numFmtId="0" fontId="6" fillId="0" borderId="52" xfId="0" applyFont="1" applyBorder="1" applyAlignment="1">
      <alignment horizontal="left" indent="1"/>
    </xf>
    <xf numFmtId="0" fontId="7" fillId="0" borderId="73" xfId="0" applyFont="1" applyBorder="1" applyAlignment="1">
      <alignment horizontal="center" vertical="center" wrapText="1"/>
    </xf>
    <xf numFmtId="0" fontId="6" fillId="0" borderId="35" xfId="0" applyFont="1" applyBorder="1"/>
    <xf numFmtId="0" fontId="6" fillId="0" borderId="48" xfId="0" applyFont="1" applyBorder="1"/>
    <xf numFmtId="0" fontId="6" fillId="0" borderId="16" xfId="0" applyFont="1" applyBorder="1"/>
    <xf numFmtId="0" fontId="7" fillId="0" borderId="11" xfId="0" applyFont="1" applyBorder="1" applyAlignment="1">
      <alignment horizontal="left" vertical="center"/>
    </xf>
    <xf numFmtId="0" fontId="6" fillId="0" borderId="42" xfId="0" applyFont="1" applyBorder="1" applyAlignment="1">
      <alignment horizontal="center" vertical="center"/>
    </xf>
    <xf numFmtId="0" fontId="6" fillId="0" borderId="62" xfId="0" applyFont="1" applyBorder="1" applyAlignment="1">
      <alignment horizontal="center"/>
    </xf>
    <xf numFmtId="0" fontId="14" fillId="26" borderId="65" xfId="45" applyFont="1" applyFill="1" applyBorder="1"/>
    <xf numFmtId="0" fontId="14" fillId="26" borderId="66" xfId="45" applyFont="1" applyFill="1" applyBorder="1" applyAlignment="1">
      <alignment horizontal="left"/>
    </xf>
    <xf numFmtId="0" fontId="14" fillId="26" borderId="14" xfId="45" applyFont="1" applyFill="1" applyBorder="1" applyAlignment="1">
      <alignment horizontal="left"/>
    </xf>
    <xf numFmtId="0" fontId="14" fillId="26" borderId="65" xfId="45" applyFont="1" applyFill="1" applyBorder="1" applyAlignment="1">
      <alignment horizontal="left"/>
    </xf>
    <xf numFmtId="0" fontId="14" fillId="31" borderId="76" xfId="45" applyFont="1" applyFill="1" applyBorder="1" applyAlignment="1">
      <alignment horizontal="left"/>
    </xf>
    <xf numFmtId="0" fontId="3" fillId="31" borderId="77" xfId="45" applyFont="1" applyFill="1" applyBorder="1"/>
    <xf numFmtId="0" fontId="3" fillId="27" borderId="0" xfId="45" applyFont="1" applyFill="1"/>
    <xf numFmtId="0" fontId="3" fillId="0" borderId="0" xfId="45" applyFont="1"/>
    <xf numFmtId="0" fontId="2" fillId="0" borderId="11" xfId="45" applyFont="1" applyBorder="1"/>
    <xf numFmtId="0" fontId="2" fillId="0" borderId="0" xfId="45" applyFont="1"/>
    <xf numFmtId="0" fontId="2" fillId="0" borderId="10" xfId="45" applyFont="1" applyBorder="1"/>
    <xf numFmtId="0" fontId="2" fillId="0" borderId="11" xfId="45" applyFont="1" applyBorder="1" applyAlignment="1">
      <alignment horizontal="center"/>
    </xf>
    <xf numFmtId="0" fontId="2" fillId="0" borderId="10" xfId="45" quotePrefix="1" applyFont="1" applyBorder="1" applyAlignment="1">
      <alignment horizontal="center"/>
    </xf>
    <xf numFmtId="0" fontId="2" fillId="0" borderId="10" xfId="45" applyFont="1" applyBorder="1" applyAlignment="1">
      <alignment horizontal="center"/>
    </xf>
    <xf numFmtId="0" fontId="2" fillId="0" borderId="14" xfId="45" applyFont="1" applyBorder="1" applyAlignment="1">
      <alignment horizontal="center"/>
    </xf>
    <xf numFmtId="0" fontId="2" fillId="0" borderId="47" xfId="45" applyFont="1" applyBorder="1" applyAlignment="1">
      <alignment horizontal="center"/>
    </xf>
    <xf numFmtId="0" fontId="2" fillId="0" borderId="15" xfId="45" applyFont="1" applyBorder="1" applyAlignment="1">
      <alignment horizontal="center"/>
    </xf>
    <xf numFmtId="0" fontId="2" fillId="0" borderId="47" xfId="45" applyFont="1" applyBorder="1"/>
    <xf numFmtId="0" fontId="2" fillId="0" borderId="65" xfId="45" applyFont="1" applyBorder="1" applyAlignment="1">
      <alignment horizontal="center"/>
    </xf>
    <xf numFmtId="16" fontId="2" fillId="0" borderId="10" xfId="45" quotePrefix="1" applyNumberFormat="1" applyFont="1" applyBorder="1" applyAlignment="1">
      <alignment horizontal="center"/>
    </xf>
    <xf numFmtId="0" fontId="2" fillId="0" borderId="15" xfId="45" applyFont="1" applyBorder="1"/>
    <xf numFmtId="0" fontId="2" fillId="0" borderId="13" xfId="45" applyFont="1" applyBorder="1"/>
    <xf numFmtId="0" fontId="16" fillId="0" borderId="0" xfId="45" applyFont="1"/>
    <xf numFmtId="0" fontId="1" fillId="0" borderId="0" xfId="45"/>
    <xf numFmtId="0" fontId="3" fillId="27" borderId="0" xfId="45" applyFont="1" applyFill="1" applyAlignment="1">
      <alignment horizontal="left" indent="1"/>
    </xf>
    <xf numFmtId="0" fontId="2" fillId="0" borderId="0" xfId="45" applyFont="1" applyAlignment="1">
      <alignment horizontal="left" indent="1"/>
    </xf>
    <xf numFmtId="0" fontId="1" fillId="0" borderId="0" xfId="0" applyFont="1"/>
    <xf numFmtId="0" fontId="1" fillId="0" borderId="0" xfId="0" applyFont="1" applyAlignment="1">
      <alignment vertical="center"/>
    </xf>
    <xf numFmtId="172" fontId="6" fillId="25" borderId="10" xfId="0" applyNumberFormat="1" applyFont="1" applyFill="1" applyBorder="1" applyProtection="1">
      <protection locked="0"/>
    </xf>
    <xf numFmtId="172" fontId="6" fillId="25" borderId="20" xfId="45" applyNumberFormat="1" applyFont="1" applyFill="1" applyBorder="1" applyProtection="1">
      <protection locked="0"/>
    </xf>
    <xf numFmtId="172" fontId="6" fillId="25" borderId="42" xfId="45" applyNumberFormat="1" applyFont="1" applyFill="1" applyBorder="1" applyProtection="1">
      <protection locked="0"/>
    </xf>
    <xf numFmtId="172" fontId="6" fillId="25" borderId="53" xfId="45" applyNumberFormat="1" applyFont="1" applyFill="1" applyBorder="1" applyProtection="1">
      <protection locked="0"/>
    </xf>
    <xf numFmtId="172" fontId="6" fillId="25" borderId="20" xfId="45" applyNumberFormat="1" applyFont="1" applyFill="1" applyBorder="1" applyProtection="1">
      <protection locked="0"/>
    </xf>
    <xf numFmtId="172" fontId="6" fillId="25" borderId="42" xfId="45" applyNumberFormat="1" applyFont="1" applyFill="1" applyBorder="1" applyProtection="1">
      <protection locked="0"/>
    </xf>
    <xf numFmtId="172" fontId="6" fillId="25" borderId="53" xfId="45" applyNumberFormat="1" applyFont="1" applyFill="1" applyBorder="1" applyProtection="1">
      <protection locked="0"/>
    </xf>
    <xf numFmtId="0" fontId="3" fillId="28" borderId="76" xfId="0" applyFont="1" applyFill="1" applyBorder="1" applyAlignment="1">
      <alignment horizontal="center"/>
    </xf>
    <xf numFmtId="0" fontId="3" fillId="28" borderId="77" xfId="0" applyFont="1" applyFill="1" applyBorder="1" applyAlignment="1">
      <alignment horizontal="center"/>
    </xf>
    <xf numFmtId="0" fontId="3" fillId="28" borderId="17" xfId="0" applyFont="1" applyFill="1" applyBorder="1" applyAlignment="1">
      <alignment horizontal="center"/>
    </xf>
    <xf numFmtId="0" fontId="3" fillId="24" borderId="76" xfId="0" applyFont="1" applyFill="1" applyBorder="1" applyAlignment="1">
      <alignment horizontal="center"/>
    </xf>
    <xf numFmtId="0" fontId="3" fillId="24" borderId="17" xfId="0" applyFont="1" applyFill="1" applyBorder="1" applyAlignment="1">
      <alignment horizontal="center"/>
    </xf>
    <xf numFmtId="0" fontId="7" fillId="0" borderId="78"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10" fillId="0" borderId="0" xfId="0" quotePrefix="1" applyFont="1" applyAlignment="1">
      <alignment horizontal="left" wrapText="1"/>
    </xf>
    <xf numFmtId="0" fontId="36" fillId="0" borderId="37" xfId="0" applyFont="1" applyBorder="1" applyAlignment="1">
      <alignment horizontal="center" vertical="center" wrapText="1"/>
    </xf>
    <xf numFmtId="0" fontId="36" fillId="0" borderId="38" xfId="0" applyFont="1" applyBorder="1" applyAlignment="1">
      <alignment horizontal="center" vertical="center" wrapText="1"/>
    </xf>
    <xf numFmtId="9" fontId="7" fillId="0" borderId="29" xfId="41" applyFont="1" applyBorder="1" applyAlignment="1">
      <alignment horizontal="center" vertical="center" wrapText="1"/>
    </xf>
    <xf numFmtId="9" fontId="7" fillId="0" borderId="58" xfId="41" applyFont="1" applyBorder="1" applyAlignment="1">
      <alignment horizontal="center" vertical="center" wrapText="1"/>
    </xf>
    <xf numFmtId="0" fontId="7" fillId="0" borderId="49" xfId="0" applyFont="1" applyBorder="1" applyAlignment="1">
      <alignment horizontal="center" vertical="center" wrapText="1"/>
    </xf>
    <xf numFmtId="0" fontId="7" fillId="0" borderId="62" xfId="0" applyFont="1" applyBorder="1" applyAlignment="1">
      <alignment horizontal="center" vertical="center" wrapText="1"/>
    </xf>
    <xf numFmtId="9" fontId="7" fillId="0" borderId="30" xfId="41" applyFont="1" applyBorder="1" applyAlignment="1">
      <alignment horizontal="center" vertical="center" wrapText="1"/>
    </xf>
    <xf numFmtId="9" fontId="7" fillId="0" borderId="57" xfId="41" applyFont="1" applyBorder="1" applyAlignment="1">
      <alignment horizontal="center" vertical="center" wrapText="1"/>
    </xf>
    <xf numFmtId="0" fontId="7" fillId="0" borderId="30"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52" xfId="0" applyFont="1" applyBorder="1" applyAlignment="1">
      <alignment horizontal="center" vertical="center"/>
    </xf>
    <xf numFmtId="0" fontId="6" fillId="0" borderId="21" xfId="0" applyFont="1" applyBorder="1" applyAlignment="1">
      <alignment horizontal="left" vertical="center" wrapText="1" indent="1"/>
    </xf>
    <xf numFmtId="0" fontId="6" fillId="0" borderId="57" xfId="0" applyFont="1" applyBorder="1" applyAlignment="1">
      <alignment horizontal="left" vertical="center" wrapText="1" indent="1"/>
    </xf>
    <xf numFmtId="0" fontId="6" fillId="0" borderId="30" xfId="0" applyFont="1" applyBorder="1" applyAlignment="1">
      <alignment horizontal="left" vertical="center" wrapText="1" indent="1"/>
    </xf>
    <xf numFmtId="0" fontId="7" fillId="0" borderId="65" xfId="0" applyFont="1" applyBorder="1" applyAlignment="1">
      <alignment horizontal="center" vertical="center"/>
    </xf>
    <xf numFmtId="0" fontId="7" fillId="0" borderId="11" xfId="0" applyFont="1" applyBorder="1" applyAlignment="1">
      <alignment horizontal="center" vertical="center"/>
    </xf>
    <xf numFmtId="0" fontId="7" fillId="0" borderId="41"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60" xfId="0" applyFont="1" applyBorder="1" applyAlignment="1">
      <alignment horizontal="center" vertical="top" wrapText="1"/>
    </xf>
    <xf numFmtId="0" fontId="7" fillId="0" borderId="73" xfId="0" applyFont="1" applyBorder="1" applyAlignment="1">
      <alignment horizontal="center" vertical="top" wrapText="1"/>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36" fillId="0" borderId="57"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78"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10" fillId="0" borderId="0" xfId="0" applyFont="1" applyAlignment="1">
      <alignment wrapText="1"/>
    </xf>
    <xf numFmtId="0" fontId="1" fillId="0" borderId="0" xfId="0" applyFont="1" applyAlignment="1">
      <alignment wrapText="1"/>
    </xf>
    <xf numFmtId="9" fontId="7" fillId="0" borderId="21" xfId="41" applyFont="1" applyBorder="1" applyAlignment="1">
      <alignment horizontal="center" vertical="center" wrapText="1"/>
    </xf>
    <xf numFmtId="9" fontId="7" fillId="0" borderId="31" xfId="41" applyFont="1" applyBorder="1" applyAlignment="1">
      <alignment horizontal="center" vertical="center" wrapText="1"/>
    </xf>
    <xf numFmtId="9" fontId="7" fillId="0" borderId="59" xfId="41" applyFont="1" applyBorder="1" applyAlignment="1">
      <alignment horizontal="center" vertical="center" wrapText="1"/>
    </xf>
    <xf numFmtId="0" fontId="7" fillId="0" borderId="68"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3" xfId="0" applyFont="1" applyBorder="1" applyAlignment="1">
      <alignment horizontal="center" vertical="top" wrapText="1"/>
    </xf>
    <xf numFmtId="0" fontId="7" fillId="0" borderId="20" xfId="0" applyFont="1" applyBorder="1" applyAlignment="1">
      <alignment horizontal="center" vertical="top" wrapText="1"/>
    </xf>
    <xf numFmtId="0" fontId="7" fillId="0" borderId="58" xfId="0" applyFont="1" applyBorder="1" applyAlignment="1">
      <alignment horizontal="center" vertical="top" wrapText="1"/>
    </xf>
    <xf numFmtId="0" fontId="7" fillId="0" borderId="41" xfId="0" applyFont="1" applyBorder="1" applyAlignment="1">
      <alignment horizontal="center" vertical="top" wrapText="1"/>
    </xf>
    <xf numFmtId="0" fontId="7" fillId="0" borderId="42" xfId="0" applyFont="1" applyBorder="1" applyAlignment="1">
      <alignment horizontal="center" vertical="top" wrapText="1"/>
    </xf>
    <xf numFmtId="0" fontId="7" fillId="0" borderId="62" xfId="0" applyFont="1" applyBorder="1" applyAlignment="1">
      <alignment horizontal="center" vertical="top" wrapText="1"/>
    </xf>
    <xf numFmtId="0" fontId="7" fillId="0" borderId="21" xfId="0" applyFont="1" applyBorder="1" applyAlignment="1">
      <alignment horizontal="center" vertical="center"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45" xr:uid="{00000000-0005-0000-0000-000026000000}"/>
    <cellStyle name="Normal_Final cover - LG Reporting" xfId="38" xr:uid="{00000000-0005-0000-0000-000027000000}"/>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1">
    <dxf>
      <font>
        <b/>
        <i val="0"/>
        <color rgb="FFFF000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60-EC42-11CE-9E0D-00AA006002F3}" ax:persistence="persistStreamInit" r:id="rId1"/>
</file>

<file path=xl/activeX/activeX7.xml><?xml version="1.0" encoding="utf-8"?>
<ax:ocx xmlns:ax="http://schemas.microsoft.com/office/2006/activeX" xmlns:r="http://schemas.openxmlformats.org/officeDocument/2006/relationships" ax:classid="{8BD21D60-EC42-11CE-9E0D-00AA006002F3}" ax:persistence="persistStreamInit" r:id="rId1"/>
</file>

<file path=xl/activeX/activeX8.xml><?xml version="1.0" encoding="utf-8"?>
<ax:ocx xmlns:ax="http://schemas.microsoft.com/office/2006/activeX" xmlns:r="http://schemas.openxmlformats.org/officeDocument/2006/relationships" ax:classid="{8BD21D60-EC42-11CE-9E0D-00AA006002F3}" ax:persistence="persistStreamInit" r:id="rId1"/>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Drop" dropLines="6" dropStyle="combo" dx="22" fmlaLink="$X$33" fmlaRange="$X$17:$X$31" noThreeD="1" sel="12" val="9"/>
</file>

<file path=xl/ctrlProps/ctrlProp3.xml><?xml version="1.0" encoding="utf-8"?>
<formControlPr xmlns="http://schemas.microsoft.com/office/spreadsheetml/2009/9/main" objectType="Drop" dropLines="10" dropStyle="combo" dx="22" fmlaLink="'Lookup and lists'!$B$27" fmlaRange="'Lookup and lists (2)'!$B$29:$B$286" noThreeD="1" sel="128" val="124"/>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7.emf"/><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8" Type="http://schemas.openxmlformats.org/officeDocument/2006/relationships/image" Target="../media/image16.emf"/><Relationship Id="rId3" Type="http://schemas.openxmlformats.org/officeDocument/2006/relationships/image" Target="../media/image11.emf"/><Relationship Id="rId7" Type="http://schemas.openxmlformats.org/officeDocument/2006/relationships/image" Target="../media/image15.emf"/><Relationship Id="rId2" Type="http://schemas.openxmlformats.org/officeDocument/2006/relationships/image" Target="../media/image10.emf"/><Relationship Id="rId1" Type="http://schemas.openxmlformats.org/officeDocument/2006/relationships/image" Target="../media/image9.emf"/><Relationship Id="rId6" Type="http://schemas.openxmlformats.org/officeDocument/2006/relationships/image" Target="../media/image14.emf"/><Relationship Id="rId5" Type="http://schemas.openxmlformats.org/officeDocument/2006/relationships/image" Target="../media/image13.emf"/><Relationship Id="rId4" Type="http://schemas.openxmlformats.org/officeDocument/2006/relationships/image" Target="../media/image12.emf"/><Relationship Id="rId9"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14</xdr:col>
      <xdr:colOff>66675</xdr:colOff>
      <xdr:row>39</xdr:row>
      <xdr:rowOff>95250</xdr:rowOff>
    </xdr:to>
    <xdr:grpSp>
      <xdr:nvGrpSpPr>
        <xdr:cNvPr id="25641" name="Group 11">
          <a:extLst>
            <a:ext uri="{FF2B5EF4-FFF2-40B4-BE49-F238E27FC236}">
              <a16:creationId xmlns:a16="http://schemas.microsoft.com/office/drawing/2014/main" id="{00000000-0008-0000-0000-000029640000}"/>
            </a:ext>
          </a:extLst>
        </xdr:cNvPr>
        <xdr:cNvGrpSpPr>
          <a:grpSpLocks/>
        </xdr:cNvGrpSpPr>
      </xdr:nvGrpSpPr>
      <xdr:grpSpPr bwMode="auto">
        <a:xfrm>
          <a:off x="0" y="9525"/>
          <a:ext cx="7582766" cy="6502111"/>
          <a:chOff x="0" y="1"/>
          <a:chExt cx="791" cy="672"/>
        </a:xfrm>
      </xdr:grpSpPr>
      <xdr:grpSp>
        <xdr:nvGrpSpPr>
          <xdr:cNvPr id="25644" name="Group 12">
            <a:extLst>
              <a:ext uri="{FF2B5EF4-FFF2-40B4-BE49-F238E27FC236}">
                <a16:creationId xmlns:a16="http://schemas.microsoft.com/office/drawing/2014/main" id="{00000000-0008-0000-0000-00002C640000}"/>
              </a:ext>
            </a:extLst>
          </xdr:cNvPr>
          <xdr:cNvGrpSpPr>
            <a:grpSpLocks/>
          </xdr:cNvGrpSpPr>
        </xdr:nvGrpSpPr>
        <xdr:grpSpPr bwMode="auto">
          <a:xfrm>
            <a:off x="0" y="1"/>
            <a:ext cx="791" cy="672"/>
            <a:chOff x="12" y="17"/>
            <a:chExt cx="791" cy="672"/>
          </a:xfrm>
        </xdr:grpSpPr>
        <xdr:pic>
          <xdr:nvPicPr>
            <xdr:cNvPr id="25646" name="Picture 13" descr="Untitled-1 copy">
              <a:extLst>
                <a:ext uri="{FF2B5EF4-FFF2-40B4-BE49-F238E27FC236}">
                  <a16:creationId xmlns:a16="http://schemas.microsoft.com/office/drawing/2014/main" id="{00000000-0008-0000-0000-00002E6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647" name="Picture 14" descr="1 copy">
              <a:extLst>
                <a:ext uri="{FF2B5EF4-FFF2-40B4-BE49-F238E27FC236}">
                  <a16:creationId xmlns:a16="http://schemas.microsoft.com/office/drawing/2014/main" id="{00000000-0008-0000-0000-00002F6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25648" name="Group 15">
              <a:extLst>
                <a:ext uri="{FF2B5EF4-FFF2-40B4-BE49-F238E27FC236}">
                  <a16:creationId xmlns:a16="http://schemas.microsoft.com/office/drawing/2014/main" id="{00000000-0008-0000-0000-000030640000}"/>
                </a:ext>
              </a:extLst>
            </xdr:cNvPr>
            <xdr:cNvGrpSpPr>
              <a:grpSpLocks/>
            </xdr:cNvGrpSpPr>
          </xdr:nvGrpSpPr>
          <xdr:grpSpPr bwMode="auto">
            <a:xfrm>
              <a:off x="416" y="255"/>
              <a:ext cx="367" cy="413"/>
              <a:chOff x="416" y="255"/>
              <a:chExt cx="367" cy="413"/>
            </a:xfrm>
          </xdr:grpSpPr>
          <xdr:pic>
            <xdr:nvPicPr>
              <xdr:cNvPr id="25653" name="Picture 48" descr="Untitled-4-2">
                <a:extLst>
                  <a:ext uri="{FF2B5EF4-FFF2-40B4-BE49-F238E27FC236}">
                    <a16:creationId xmlns:a16="http://schemas.microsoft.com/office/drawing/2014/main" id="{00000000-0008-0000-0000-00003564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25654" name="Group 17">
                <a:extLst>
                  <a:ext uri="{FF2B5EF4-FFF2-40B4-BE49-F238E27FC236}">
                    <a16:creationId xmlns:a16="http://schemas.microsoft.com/office/drawing/2014/main" id="{00000000-0008-0000-0000-000036640000}"/>
                  </a:ext>
                </a:extLst>
              </xdr:cNvPr>
              <xdr:cNvGrpSpPr>
                <a:grpSpLocks/>
              </xdr:cNvGrpSpPr>
            </xdr:nvGrpSpPr>
            <xdr:grpSpPr bwMode="auto">
              <a:xfrm>
                <a:off x="432" y="264"/>
                <a:ext cx="286" cy="128"/>
                <a:chOff x="426" y="263"/>
                <a:chExt cx="290" cy="130"/>
              </a:xfrm>
            </xdr:grpSpPr>
            <xdr:pic>
              <xdr:nvPicPr>
                <xdr:cNvPr id="25656" name="Picture 52" descr="Letter Head">
                  <a:extLst>
                    <a:ext uri="{FF2B5EF4-FFF2-40B4-BE49-F238E27FC236}">
                      <a16:creationId xmlns:a16="http://schemas.microsoft.com/office/drawing/2014/main" id="{00000000-0008-0000-0000-000038640000}"/>
                    </a:ext>
                  </a:extLst>
                </xdr:cNvPr>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657" name="Line 53">
                  <a:extLst>
                    <a:ext uri="{FF2B5EF4-FFF2-40B4-BE49-F238E27FC236}">
                      <a16:creationId xmlns:a16="http://schemas.microsoft.com/office/drawing/2014/main" id="{00000000-0008-0000-0000-000039640000}"/>
                    </a:ext>
                  </a:extLst>
                </xdr:cNvPr>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434" y="393"/>
                <a:ext cx="334" cy="2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Technical enquiries to the MFMA Helpline at:</a:t>
                </a:r>
              </a:p>
              <a:p>
                <a:pPr algn="l" rtl="0">
                  <a:defRPr sz="1000"/>
                </a:pPr>
                <a:r>
                  <a:rPr lang="en-GB" sz="1000" b="0" i="0" u="none" strike="noStrike" baseline="0">
                    <a:solidFill>
                      <a:srgbClr val="000000"/>
                    </a:solidFill>
                    <a:latin typeface="Calibri"/>
                    <a:cs typeface="Calibri"/>
                  </a:rPr>
                  <a:t>lgdataqueries@treasury.gov.za</a:t>
                </a: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Data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r>
                  <a:rPr lang="en-GB" sz="1000" b="0" i="0" u="none" strike="noStrike" baseline="0">
                    <a:solidFill>
                      <a:srgbClr val="000000"/>
                    </a:solidFill>
                    <a:latin typeface="Calibri"/>
                    <a:cs typeface="Calibri"/>
                  </a:rPr>
                  <a:t>Queries on formats: lgdataqueries@treasury.gov.za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25649" name="Group 21">
              <a:extLst>
                <a:ext uri="{FF2B5EF4-FFF2-40B4-BE49-F238E27FC236}">
                  <a16:creationId xmlns:a16="http://schemas.microsoft.com/office/drawing/2014/main" id="{00000000-0008-0000-0000-000031640000}"/>
                </a:ext>
              </a:extLst>
            </xdr:cNvPr>
            <xdr:cNvGrpSpPr>
              <a:grpSpLocks/>
            </xdr:cNvGrpSpPr>
          </xdr:nvGrpSpPr>
          <xdr:grpSpPr bwMode="auto">
            <a:xfrm>
              <a:off x="76" y="364"/>
              <a:ext cx="289" cy="256"/>
              <a:chOff x="76" y="364"/>
              <a:chExt cx="289" cy="256"/>
            </a:xfrm>
          </xdr:grpSpPr>
          <xdr:pic>
            <xdr:nvPicPr>
              <xdr:cNvPr id="25650" name="Picture 22" descr="J1c">
                <a:extLst>
                  <a:ext uri="{FF2B5EF4-FFF2-40B4-BE49-F238E27FC236}">
                    <a16:creationId xmlns:a16="http://schemas.microsoft.com/office/drawing/2014/main" id="{00000000-0008-0000-0000-00003264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651" name="Picture 23" descr="J1a">
                <a:extLst>
                  <a:ext uri="{FF2B5EF4-FFF2-40B4-BE49-F238E27FC236}">
                    <a16:creationId xmlns:a16="http://schemas.microsoft.com/office/drawing/2014/main" id="{00000000-0008-0000-0000-00003364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652" name="Picture 24" descr="J1b">
                <a:extLst>
                  <a:ext uri="{FF2B5EF4-FFF2-40B4-BE49-F238E27FC236}">
                    <a16:creationId xmlns:a16="http://schemas.microsoft.com/office/drawing/2014/main" id="{00000000-0008-0000-0000-00003464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25645" name="Picture 25" descr="D1 light">
            <a:extLst>
              <a:ext uri="{FF2B5EF4-FFF2-40B4-BE49-F238E27FC236}">
                <a16:creationId xmlns:a16="http://schemas.microsoft.com/office/drawing/2014/main" id="{00000000-0008-0000-0000-00002D64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83820</xdr:colOff>
      <xdr:row>15</xdr:row>
      <xdr:rowOff>148590</xdr:rowOff>
    </xdr:from>
    <xdr:to>
      <xdr:col>4</xdr:col>
      <xdr:colOff>481969</xdr:colOff>
      <xdr:row>19</xdr:row>
      <xdr:rowOff>109</xdr:rowOff>
    </xdr:to>
    <xdr:sp macro="[0]!GoToInstructions" textlink="">
      <xdr:nvSpPr>
        <xdr:cNvPr id="3098" name="Text Box 26">
          <a:extLst>
            <a:ext uri="{FF2B5EF4-FFF2-40B4-BE49-F238E27FC236}">
              <a16:creationId xmlns:a16="http://schemas.microsoft.com/office/drawing/2014/main" id="{00000000-0008-0000-0000-00001A0C0000}"/>
            </a:ext>
          </a:extLst>
        </xdr:cNvPr>
        <xdr:cNvSpPr txBox="1">
          <a:spLocks noChangeArrowheads="1"/>
        </xdr:cNvSpPr>
      </xdr:nvSpPr>
      <xdr:spPr bwMode="auto">
        <a:xfrm>
          <a:off x="619125" y="2581275"/>
          <a:ext cx="20002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twoCellAnchor>
    <xdr:from>
      <xdr:col>11</xdr:col>
      <xdr:colOff>138545</xdr:colOff>
      <xdr:row>11</xdr:row>
      <xdr:rowOff>131445</xdr:rowOff>
    </xdr:from>
    <xdr:to>
      <xdr:col>13</xdr:col>
      <xdr:colOff>443879</xdr:colOff>
      <xdr:row>13</xdr:row>
      <xdr:rowOff>17514</xdr:rowOff>
    </xdr:to>
    <xdr:sp macro="" textlink="">
      <xdr:nvSpPr>
        <xdr:cNvPr id="3099" name="Text Box 27">
          <a:extLst>
            <a:ext uri="{FF2B5EF4-FFF2-40B4-BE49-F238E27FC236}">
              <a16:creationId xmlns:a16="http://schemas.microsoft.com/office/drawing/2014/main" id="{00000000-0008-0000-0000-00001B0C0000}"/>
            </a:ext>
          </a:extLst>
        </xdr:cNvPr>
        <xdr:cNvSpPr txBox="1">
          <a:spLocks noChangeArrowheads="1"/>
        </xdr:cNvSpPr>
      </xdr:nvSpPr>
      <xdr:spPr bwMode="auto">
        <a:xfrm>
          <a:off x="6044045" y="1941195"/>
          <a:ext cx="1379061" cy="2151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6.3</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685800</xdr:colOff>
          <xdr:row>1</xdr:row>
          <xdr:rowOff>95250</xdr:rowOff>
        </xdr:from>
        <xdr:to>
          <xdr:col>2</xdr:col>
          <xdr:colOff>1885950</xdr:colOff>
          <xdr:row>3</xdr:row>
          <xdr:rowOff>9525</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47625</xdr:rowOff>
    </xdr:from>
    <xdr:to>
      <xdr:col>12</xdr:col>
      <xdr:colOff>219075</xdr:colOff>
      <xdr:row>46</xdr:row>
      <xdr:rowOff>114300</xdr:rowOff>
    </xdr:to>
    <xdr:pic>
      <xdr:nvPicPr>
        <xdr:cNvPr id="26635" name="Picture 3" descr="Untitled-1 copy">
          <a:extLst>
            <a:ext uri="{FF2B5EF4-FFF2-40B4-BE49-F238E27FC236}">
              <a16:creationId xmlns:a16="http://schemas.microsoft.com/office/drawing/2014/main" id="{00000000-0008-0000-0300-00000B6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7534275" cy="7515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28</xdr:row>
      <xdr:rowOff>104775</xdr:rowOff>
    </xdr:from>
    <xdr:to>
      <xdr:col>12</xdr:col>
      <xdr:colOff>123825</xdr:colOff>
      <xdr:row>45</xdr:row>
      <xdr:rowOff>0</xdr:rowOff>
    </xdr:to>
    <xdr:pic>
      <xdr:nvPicPr>
        <xdr:cNvPr id="26636" name="Picture 4" descr="1 copy">
          <a:extLst>
            <a:ext uri="{FF2B5EF4-FFF2-40B4-BE49-F238E27FC236}">
              <a16:creationId xmlns:a16="http://schemas.microsoft.com/office/drawing/2014/main" id="{00000000-0008-0000-0300-00000C6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4638675"/>
          <a:ext cx="7334250" cy="264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161925</xdr:colOff>
      <xdr:row>0</xdr:row>
      <xdr:rowOff>121920</xdr:rowOff>
    </xdr:from>
    <xdr:to>
      <xdr:col>11</xdr:col>
      <xdr:colOff>552450</xdr:colOff>
      <xdr:row>3</xdr:row>
      <xdr:rowOff>133473</xdr:rowOff>
    </xdr:to>
    <xdr:sp macro="" textlink="">
      <xdr:nvSpPr>
        <xdr:cNvPr id="123921" name="Text Box 17">
          <a:extLst>
            <a:ext uri="{FF2B5EF4-FFF2-40B4-BE49-F238E27FC236}">
              <a16:creationId xmlns:a16="http://schemas.microsoft.com/office/drawing/2014/main" id="{00000000-0008-0000-0300-000011E40100}"/>
            </a:ext>
          </a:extLst>
        </xdr:cNvPr>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7</xdr:row>
      <xdr:rowOff>95250</xdr:rowOff>
    </xdr:from>
    <xdr:to>
      <xdr:col>3</xdr:col>
      <xdr:colOff>381000</xdr:colOff>
      <xdr:row>9</xdr:row>
      <xdr:rowOff>150615</xdr:rowOff>
    </xdr:to>
    <xdr:sp macro="" textlink="">
      <xdr:nvSpPr>
        <xdr:cNvPr id="123923" name="Text Box 19">
          <a:extLst>
            <a:ext uri="{FF2B5EF4-FFF2-40B4-BE49-F238E27FC236}">
              <a16:creationId xmlns:a16="http://schemas.microsoft.com/office/drawing/2014/main" id="{00000000-0008-0000-0300-000013E40100}"/>
            </a:ext>
          </a:extLst>
        </xdr:cNvPr>
        <xdr:cNvSpPr txBox="1">
          <a:spLocks noChangeArrowheads="1"/>
        </xdr:cNvSpPr>
      </xdr:nvSpPr>
      <xdr:spPr bwMode="auto">
        <a:xfrm>
          <a:off x="190500" y="1228725"/>
          <a:ext cx="2019300" cy="381000"/>
        </a:xfrm>
        <a:prstGeom prst="rect">
          <a:avLst/>
        </a:prstGeom>
        <a:noFill/>
        <a:ln w="9525">
          <a:noFill/>
          <a:miter lim="800000"/>
          <a:headEnd/>
          <a:tailEnd/>
        </a:ln>
      </xdr:spPr>
      <xdr:txBody>
        <a:bodyPr vertOverflow="clip" wrap="square" lIns="0" tIns="32004" rIns="36576" bIns="32004" anchor="ctr" upright="1"/>
        <a:lstStyle/>
        <a:p>
          <a:pPr algn="r" rtl="0">
            <a:defRPr sz="1000"/>
          </a:pPr>
          <a:r>
            <a:rPr lang="en-GB" sz="1400" b="1" i="0" u="none" strike="noStrike" baseline="0">
              <a:solidFill>
                <a:srgbClr val="FFFFFF"/>
              </a:solidFill>
              <a:latin typeface="Calibri"/>
              <a:cs typeface="Calibri"/>
            </a:rPr>
            <a:t>Municipal Entity Name:</a:t>
          </a:r>
        </a:p>
      </xdr:txBody>
    </xdr:sp>
    <xdr:clientData/>
  </xdr:twoCellAnchor>
  <xdr:twoCellAnchor>
    <xdr:from>
      <xdr:col>0</xdr:col>
      <xdr:colOff>161925</xdr:colOff>
      <xdr:row>18</xdr:row>
      <xdr:rowOff>19050</xdr:rowOff>
    </xdr:from>
    <xdr:to>
      <xdr:col>5</xdr:col>
      <xdr:colOff>47625</xdr:colOff>
      <xdr:row>21</xdr:row>
      <xdr:rowOff>28575</xdr:rowOff>
    </xdr:to>
    <xdr:sp macro="" textlink="">
      <xdr:nvSpPr>
        <xdr:cNvPr id="123926" name="Text Box 22">
          <a:extLst>
            <a:ext uri="{FF2B5EF4-FFF2-40B4-BE49-F238E27FC236}">
              <a16:creationId xmlns:a16="http://schemas.microsoft.com/office/drawing/2014/main" id="{00000000-0008-0000-0300-000016E40100}"/>
            </a:ext>
          </a:extLst>
        </xdr:cNvPr>
        <xdr:cNvSpPr txBox="1">
          <a:spLocks noChangeArrowheads="1"/>
        </xdr:cNvSpPr>
      </xdr:nvSpPr>
      <xdr:spPr bwMode="auto">
        <a:xfrm>
          <a:off x="161925" y="2352675"/>
          <a:ext cx="2933700" cy="495300"/>
        </a:xfrm>
        <a:prstGeom prst="rect">
          <a:avLst/>
        </a:prstGeom>
        <a:noFill/>
        <a:ln w="9525">
          <a:noFill/>
          <a:miter lim="800000"/>
          <a:headEnd/>
          <a:tailEnd/>
        </a:ln>
      </xdr:spPr>
      <xdr:txBody>
        <a:bodyPr vertOverflow="clip" wrap="square" lIns="0" tIns="32004" rIns="36576" bIns="32004" anchor="ctr" upright="1"/>
        <a:lstStyle/>
        <a:p>
          <a:pPr algn="r" rtl="0">
            <a:defRPr sz="1000"/>
          </a:pPr>
          <a:r>
            <a:rPr lang="en-GB" sz="1400" b="1" i="0" u="none" strike="noStrike" baseline="0">
              <a:solidFill>
                <a:srgbClr val="FFFFFF"/>
              </a:solidFill>
              <a:latin typeface="Calibri"/>
              <a:cs typeface="Calibri"/>
            </a:rPr>
            <a:t>Budget for MTREF starting:</a:t>
          </a:r>
        </a:p>
      </xdr:txBody>
    </xdr:sp>
    <xdr:clientData/>
  </xdr:twoCellAnchor>
  <xdr:twoCellAnchor>
    <xdr:from>
      <xdr:col>7</xdr:col>
      <xdr:colOff>257175</xdr:colOff>
      <xdr:row>18</xdr:row>
      <xdr:rowOff>19050</xdr:rowOff>
    </xdr:from>
    <xdr:to>
      <xdr:col>9</xdr:col>
      <xdr:colOff>476250</xdr:colOff>
      <xdr:row>21</xdr:row>
      <xdr:rowOff>28575</xdr:rowOff>
    </xdr:to>
    <xdr:sp macro="" textlink="">
      <xdr:nvSpPr>
        <xdr:cNvPr id="123928" name="Text Box 24">
          <a:extLst>
            <a:ext uri="{FF2B5EF4-FFF2-40B4-BE49-F238E27FC236}">
              <a16:creationId xmlns:a16="http://schemas.microsoft.com/office/drawing/2014/main" id="{00000000-0008-0000-0300-000018E40100}"/>
            </a:ext>
          </a:extLst>
        </xdr:cNvPr>
        <xdr:cNvSpPr txBox="1">
          <a:spLocks noChangeArrowheads="1"/>
        </xdr:cNvSpPr>
      </xdr:nvSpPr>
      <xdr:spPr bwMode="auto">
        <a:xfrm>
          <a:off x="4524375" y="2352675"/>
          <a:ext cx="1438275"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Budget Year:</a:t>
          </a:r>
        </a:p>
      </xdr:txBody>
    </xdr:sp>
    <xdr:clientData/>
  </xdr:twoCellAnchor>
  <xdr:twoCellAnchor>
    <xdr:from>
      <xdr:col>0</xdr:col>
      <xdr:colOff>200025</xdr:colOff>
      <xdr:row>10</xdr:row>
      <xdr:rowOff>95250</xdr:rowOff>
    </xdr:from>
    <xdr:to>
      <xdr:col>5</xdr:col>
      <xdr:colOff>85725</xdr:colOff>
      <xdr:row>12</xdr:row>
      <xdr:rowOff>66675</xdr:rowOff>
    </xdr:to>
    <xdr:sp macro="" textlink="">
      <xdr:nvSpPr>
        <xdr:cNvPr id="123943" name="Text Box 39">
          <a:extLst>
            <a:ext uri="{FF2B5EF4-FFF2-40B4-BE49-F238E27FC236}">
              <a16:creationId xmlns:a16="http://schemas.microsoft.com/office/drawing/2014/main" id="{00000000-0008-0000-0300-000027E40100}"/>
            </a:ext>
          </a:extLst>
        </xdr:cNvPr>
        <xdr:cNvSpPr txBox="1">
          <a:spLocks noChangeArrowheads="1"/>
        </xdr:cNvSpPr>
      </xdr:nvSpPr>
      <xdr:spPr bwMode="auto">
        <a:xfrm>
          <a:off x="200025" y="1714500"/>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12</xdr:row>
      <xdr:rowOff>150495</xdr:rowOff>
    </xdr:from>
    <xdr:to>
      <xdr:col>5</xdr:col>
      <xdr:colOff>85725</xdr:colOff>
      <xdr:row>14</xdr:row>
      <xdr:rowOff>121920</xdr:rowOff>
    </xdr:to>
    <xdr:sp macro="" textlink="">
      <xdr:nvSpPr>
        <xdr:cNvPr id="123944" name="Text Box 40">
          <a:extLst>
            <a:ext uri="{FF2B5EF4-FFF2-40B4-BE49-F238E27FC236}">
              <a16:creationId xmlns:a16="http://schemas.microsoft.com/office/drawing/2014/main" id="{00000000-0008-0000-0300-000028E40100}"/>
            </a:ext>
          </a:extLst>
        </xdr:cNvPr>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15</xdr:row>
      <xdr:rowOff>57150</xdr:rowOff>
    </xdr:from>
    <xdr:to>
      <xdr:col>5</xdr:col>
      <xdr:colOff>95250</xdr:colOff>
      <xdr:row>17</xdr:row>
      <xdr:rowOff>47625</xdr:rowOff>
    </xdr:to>
    <xdr:sp macro="" textlink="">
      <xdr:nvSpPr>
        <xdr:cNvPr id="123945" name="Text Box 41">
          <a:extLst>
            <a:ext uri="{FF2B5EF4-FFF2-40B4-BE49-F238E27FC236}">
              <a16:creationId xmlns:a16="http://schemas.microsoft.com/office/drawing/2014/main" id="{00000000-0008-0000-0300-000029E40100}"/>
            </a:ext>
          </a:extLst>
        </xdr:cNvPr>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13</xdr:row>
      <xdr:rowOff>9525</xdr:rowOff>
    </xdr:from>
    <xdr:to>
      <xdr:col>8</xdr:col>
      <xdr:colOff>552450</xdr:colOff>
      <xdr:row>14</xdr:row>
      <xdr:rowOff>142875</xdr:rowOff>
    </xdr:to>
    <xdr:sp macro="" textlink="">
      <xdr:nvSpPr>
        <xdr:cNvPr id="123949" name="Text Box 45">
          <a:extLst>
            <a:ext uri="{FF2B5EF4-FFF2-40B4-BE49-F238E27FC236}">
              <a16:creationId xmlns:a16="http://schemas.microsoft.com/office/drawing/2014/main" id="{00000000-0008-0000-0300-00002DE40100}"/>
            </a:ext>
          </a:extLst>
        </xdr:cNvPr>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3</xdr:col>
          <xdr:colOff>466725</xdr:colOff>
          <xdr:row>8</xdr:row>
          <xdr:rowOff>19050</xdr:rowOff>
        </xdr:from>
        <xdr:to>
          <xdr:col>8</xdr:col>
          <xdr:colOff>0</xdr:colOff>
          <xdr:row>9</xdr:row>
          <xdr:rowOff>123825</xdr:rowOff>
        </xdr:to>
        <xdr:sp macro="" textlink="">
          <xdr:nvSpPr>
            <xdr:cNvPr id="5137" name="TextBox1"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19</xdr:row>
          <xdr:rowOff>28575</xdr:rowOff>
        </xdr:from>
        <xdr:to>
          <xdr:col>6</xdr:col>
          <xdr:colOff>495300</xdr:colOff>
          <xdr:row>20</xdr:row>
          <xdr:rowOff>47625</xdr:rowOff>
        </xdr:to>
        <xdr:sp macro="" textlink="">
          <xdr:nvSpPr>
            <xdr:cNvPr id="5140" name="Drop Down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18</xdr:row>
          <xdr:rowOff>123825</xdr:rowOff>
        </xdr:from>
        <xdr:to>
          <xdr:col>11</xdr:col>
          <xdr:colOff>466725</xdr:colOff>
          <xdr:row>20</xdr:row>
          <xdr:rowOff>123825</xdr:rowOff>
        </xdr:to>
        <xdr:pic>
          <xdr:nvPicPr>
            <xdr:cNvPr id="26645" name="TextBox2">
              <a:extLst>
                <a:ext uri="{FF2B5EF4-FFF2-40B4-BE49-F238E27FC236}">
                  <a16:creationId xmlns:a16="http://schemas.microsoft.com/office/drawing/2014/main" id="{00000000-0008-0000-0300-000015680000}"/>
                </a:ext>
              </a:extLst>
            </xdr:cNvPr>
            <xdr:cNvPicPr preferRelativeResize="0">
              <a:picLocks noChangeArrowheads="1" noChangeShapeType="1"/>
              <a:extLst>
                <a:ext uri="{84589F7E-364E-4C9E-8A38-B11213B215E9}">
                  <a14:cameraTool cellRange="FinYear" spid="_x0000_s26730"/>
                </a:ext>
              </a:extLst>
            </xdr:cNvPicPr>
          </xdr:nvPicPr>
          <xdr:blipFill>
            <a:blip xmlns:r="http://schemas.openxmlformats.org/officeDocument/2006/relationships" r:embed="rId3">
              <a:grayscl/>
              <a:biLevel thresh="50000"/>
            </a:blip>
            <a:srcRect/>
            <a:stretch>
              <a:fillRect/>
            </a:stretch>
          </xdr:blipFill>
          <xdr:spPr bwMode="auto">
            <a:xfrm>
              <a:off x="6067425" y="3038475"/>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10</xdr:row>
          <xdr:rowOff>123825</xdr:rowOff>
        </xdr:from>
        <xdr:to>
          <xdr:col>9</xdr:col>
          <xdr:colOff>371475</xdr:colOff>
          <xdr:row>12</xdr:row>
          <xdr:rowOff>66675</xdr:rowOff>
        </xdr:to>
        <xdr:sp macro="" textlink="">
          <xdr:nvSpPr>
            <xdr:cNvPr id="5142" name="TextBox3"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13</xdr:row>
          <xdr:rowOff>47625</xdr:rowOff>
        </xdr:from>
        <xdr:to>
          <xdr:col>7</xdr:col>
          <xdr:colOff>85725</xdr:colOff>
          <xdr:row>14</xdr:row>
          <xdr:rowOff>133350</xdr:rowOff>
        </xdr:to>
        <xdr:sp macro="" textlink="">
          <xdr:nvSpPr>
            <xdr:cNvPr id="5143" name="TextBox4"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15</xdr:row>
          <xdr:rowOff>123825</xdr:rowOff>
        </xdr:from>
        <xdr:to>
          <xdr:col>9</xdr:col>
          <xdr:colOff>400050</xdr:colOff>
          <xdr:row>17</xdr:row>
          <xdr:rowOff>57150</xdr:rowOff>
        </xdr:to>
        <xdr:sp macro="" textlink="">
          <xdr:nvSpPr>
            <xdr:cNvPr id="5144" name="TextBox5"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13</xdr:row>
          <xdr:rowOff>85725</xdr:rowOff>
        </xdr:from>
        <xdr:to>
          <xdr:col>10</xdr:col>
          <xdr:colOff>485775</xdr:colOff>
          <xdr:row>15</xdr:row>
          <xdr:rowOff>28575</xdr:rowOff>
        </xdr:to>
        <xdr:sp macro="" textlink="">
          <xdr:nvSpPr>
            <xdr:cNvPr id="5145" name="TextBox6"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590550</xdr:colOff>
          <xdr:row>34</xdr:row>
          <xdr:rowOff>104775</xdr:rowOff>
        </xdr:from>
        <xdr:to>
          <xdr:col>4</xdr:col>
          <xdr:colOff>85725</xdr:colOff>
          <xdr:row>36</xdr:row>
          <xdr:rowOff>28575</xdr:rowOff>
        </xdr:to>
        <xdr:sp macro="" textlink="">
          <xdr:nvSpPr>
            <xdr:cNvPr id="5146" name="ToggleReferenceColumns"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581025</xdr:colOff>
          <xdr:row>36</xdr:row>
          <xdr:rowOff>123825</xdr:rowOff>
        </xdr:from>
        <xdr:to>
          <xdr:col>4</xdr:col>
          <xdr:colOff>85725</xdr:colOff>
          <xdr:row>38</xdr:row>
          <xdr:rowOff>76200</xdr:rowOff>
        </xdr:to>
        <xdr:sp macro="" textlink="">
          <xdr:nvSpPr>
            <xdr:cNvPr id="5147" name="TogglePreAuditColums"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29</xdr:row>
          <xdr:rowOff>104775</xdr:rowOff>
        </xdr:from>
        <xdr:to>
          <xdr:col>3</xdr:col>
          <xdr:colOff>238125</xdr:colOff>
          <xdr:row>31</xdr:row>
          <xdr:rowOff>0</xdr:rowOff>
        </xdr:to>
        <xdr:sp macro="" textlink="">
          <xdr:nvSpPr>
            <xdr:cNvPr id="5148" name="ToggleHiddenColumns"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238125</xdr:colOff>
      <xdr:row>29</xdr:row>
      <xdr:rowOff>57150</xdr:rowOff>
    </xdr:from>
    <xdr:to>
      <xdr:col>5</xdr:col>
      <xdr:colOff>581025</xdr:colOff>
      <xdr:row>32</xdr:row>
      <xdr:rowOff>66675</xdr:rowOff>
    </xdr:to>
    <xdr:sp macro="" textlink="">
      <xdr:nvSpPr>
        <xdr:cNvPr id="5149" name="Text Box 18">
          <a:extLst>
            <a:ext uri="{FF2B5EF4-FFF2-40B4-BE49-F238E27FC236}">
              <a16:creationId xmlns:a16="http://schemas.microsoft.com/office/drawing/2014/main" id="{00000000-0008-0000-0300-00001D140000}"/>
            </a:ext>
          </a:extLst>
        </xdr:cNvPr>
        <xdr:cNvSpPr txBox="1">
          <a:spLocks noChangeArrowheads="1"/>
        </xdr:cNvSpPr>
      </xdr:nvSpPr>
      <xdr:spPr bwMode="auto">
        <a:xfrm>
          <a:off x="238125" y="4752975"/>
          <a:ext cx="3390900" cy="4953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0</xdr:col>
      <xdr:colOff>209550</xdr:colOff>
      <xdr:row>32</xdr:row>
      <xdr:rowOff>66675</xdr:rowOff>
    </xdr:from>
    <xdr:to>
      <xdr:col>4</xdr:col>
      <xdr:colOff>447675</xdr:colOff>
      <xdr:row>34</xdr:row>
      <xdr:rowOff>112480</xdr:rowOff>
    </xdr:to>
    <xdr:sp macro="" textlink="">
      <xdr:nvSpPr>
        <xdr:cNvPr id="5150" name="Text Box 30">
          <a:extLst>
            <a:ext uri="{FF2B5EF4-FFF2-40B4-BE49-F238E27FC236}">
              <a16:creationId xmlns:a16="http://schemas.microsoft.com/office/drawing/2014/main" id="{00000000-0008-0000-0300-00001E140000}"/>
            </a:ext>
          </a:extLst>
        </xdr:cNvPr>
        <xdr:cNvSpPr txBox="1">
          <a:spLocks noChangeArrowheads="1"/>
        </xdr:cNvSpPr>
      </xdr:nvSpPr>
      <xdr:spPr bwMode="auto">
        <a:xfrm>
          <a:off x="209550" y="5248275"/>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133350</xdr:colOff>
      <xdr:row>39</xdr:row>
      <xdr:rowOff>150495</xdr:rowOff>
    </xdr:from>
    <xdr:to>
      <xdr:col>5</xdr:col>
      <xdr:colOff>114300</xdr:colOff>
      <xdr:row>42</xdr:row>
      <xdr:rowOff>38150</xdr:rowOff>
    </xdr:to>
    <xdr:sp macro="" textlink="">
      <xdr:nvSpPr>
        <xdr:cNvPr id="5151" name="Text Box 31">
          <a:extLst>
            <a:ext uri="{FF2B5EF4-FFF2-40B4-BE49-F238E27FC236}">
              <a16:creationId xmlns:a16="http://schemas.microsoft.com/office/drawing/2014/main" id="{00000000-0008-0000-0300-00001F140000}"/>
            </a:ext>
          </a:extLst>
        </xdr:cNvPr>
        <xdr:cNvSpPr txBox="1">
          <a:spLocks noChangeArrowheads="1"/>
        </xdr:cNvSpPr>
      </xdr:nvSpPr>
      <xdr:spPr bwMode="auto">
        <a:xfrm>
          <a:off x="133350" y="6467475"/>
          <a:ext cx="30289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xdr:twoCellAnchor>
    <xdr:from>
      <xdr:col>6</xdr:col>
      <xdr:colOff>228600</xdr:colOff>
      <xdr:row>29</xdr:row>
      <xdr:rowOff>66675</xdr:rowOff>
    </xdr:from>
    <xdr:to>
      <xdr:col>11</xdr:col>
      <xdr:colOff>571500</xdr:colOff>
      <xdr:row>32</xdr:row>
      <xdr:rowOff>76200</xdr:rowOff>
    </xdr:to>
    <xdr:sp macro="" textlink="">
      <xdr:nvSpPr>
        <xdr:cNvPr id="5152" name="Text Box 18">
          <a:extLst>
            <a:ext uri="{FF2B5EF4-FFF2-40B4-BE49-F238E27FC236}">
              <a16:creationId xmlns:a16="http://schemas.microsoft.com/office/drawing/2014/main" id="{00000000-0008-0000-0300-000020140000}"/>
            </a:ext>
          </a:extLst>
        </xdr:cNvPr>
        <xdr:cNvSpPr txBox="1">
          <a:spLocks noChangeArrowheads="1"/>
        </xdr:cNvSpPr>
      </xdr:nvSpPr>
      <xdr:spPr bwMode="auto">
        <a:xfrm>
          <a:off x="3886200" y="4762500"/>
          <a:ext cx="3390900" cy="4953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Submission of Data</a:t>
          </a:r>
        </a:p>
      </xdr:txBody>
    </xdr:sp>
    <xdr:clientData/>
  </xdr:twoCellAnchor>
  <xdr:twoCellAnchor>
    <xdr:from>
      <xdr:col>0</xdr:col>
      <xdr:colOff>171450</xdr:colOff>
      <xdr:row>4</xdr:row>
      <xdr:rowOff>57150</xdr:rowOff>
    </xdr:from>
    <xdr:to>
      <xdr:col>3</xdr:col>
      <xdr:colOff>152400</xdr:colOff>
      <xdr:row>6</xdr:row>
      <xdr:rowOff>112515</xdr:rowOff>
    </xdr:to>
    <xdr:sp macro="" textlink="">
      <xdr:nvSpPr>
        <xdr:cNvPr id="2" name="Text Box 19">
          <a:extLst>
            <a:ext uri="{FF2B5EF4-FFF2-40B4-BE49-F238E27FC236}">
              <a16:creationId xmlns:a16="http://schemas.microsoft.com/office/drawing/2014/main" id="{00000000-0008-0000-0300-000002000000}"/>
            </a:ext>
          </a:extLst>
        </xdr:cNvPr>
        <xdr:cNvSpPr txBox="1">
          <a:spLocks noChangeArrowheads="1"/>
        </xdr:cNvSpPr>
      </xdr:nvSpPr>
      <xdr:spPr bwMode="auto">
        <a:xfrm>
          <a:off x="171450" y="704850"/>
          <a:ext cx="180975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mc:AlternateContent xmlns:mc="http://schemas.openxmlformats.org/markup-compatibility/2006">
    <mc:Choice xmlns:a14="http://schemas.microsoft.com/office/drawing/2010/main" Requires="a14">
      <xdr:twoCellAnchor editAs="oneCell">
        <xdr:from>
          <xdr:col>3</xdr:col>
          <xdr:colOff>466725</xdr:colOff>
          <xdr:row>5</xdr:row>
          <xdr:rowOff>28575</xdr:rowOff>
        </xdr:from>
        <xdr:to>
          <xdr:col>7</xdr:col>
          <xdr:colOff>600075</xdr:colOff>
          <xdr:row>6</xdr:row>
          <xdr:rowOff>38100</xdr:rowOff>
        </xdr:to>
        <xdr:sp macro="" textlink="">
          <xdr:nvSpPr>
            <xdr:cNvPr id="5156" name="Drop Down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02.%20Development\00.%20Final%20-%20March%202009\2.%20Formats\1.%20Formats%2029.03.2009\A1%20Schedule%20Municipal%20Budget%20-%2028%20March%202009%20cb%20Ver%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arina\Documents\sant\forms\Schedules%20to%20align%20to%20mSCOA\A1%20Schedule%20-%20mSCOA%20vs%206.2%20-%2025%20January%202018%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sheetData sheetId="1"/>
      <sheetData sheetId="2">
        <row r="93">
          <cell r="B93" t="str">
            <v/>
          </cell>
        </row>
        <row r="94">
          <cell r="B94">
            <v>2</v>
          </cell>
          <cell r="D94">
            <v>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Balance Sheet"/>
      <sheetName val="START"/>
      <sheetName val="Instructions"/>
      <sheetName val="Template names"/>
      <sheetName val="Lookup and lists"/>
      <sheetName val="Org structure"/>
      <sheetName val="Contacts"/>
      <sheetName val="C1-Sum"/>
      <sheetName val="C2-FinPerf SC"/>
      <sheetName val="C2C"/>
      <sheetName val="C3-FinPerf V"/>
      <sheetName val="C3C"/>
      <sheetName val="C4-FinPerf RE"/>
      <sheetName val="C5-Capex"/>
      <sheetName val="C5C"/>
      <sheetName val="C6-FinPos"/>
      <sheetName val="C7-CFlow"/>
      <sheetName val="SC1"/>
      <sheetName val="SC2"/>
      <sheetName val="SC3"/>
      <sheetName val="SC4"/>
      <sheetName val="SC5"/>
      <sheetName val="SC6"/>
      <sheetName val="SC7(1)"/>
      <sheetName val="SC7(2)"/>
      <sheetName val="SC8"/>
      <sheetName val="SC9"/>
      <sheetName val="SC10"/>
      <sheetName val="SC11"/>
      <sheetName val="SC12"/>
      <sheetName val="SC13a"/>
      <sheetName val="SC13b"/>
      <sheetName val="SC13c"/>
      <sheetName val="SC13d"/>
      <sheetName val="SC71charts"/>
    </sheetNames>
    <sheetDataSet>
      <sheetData sheetId="0" refreshError="1">
        <row r="1">
          <cell r="B1" t="str">
            <v>December</v>
          </cell>
        </row>
        <row r="2">
          <cell r="B2">
            <v>31</v>
          </cell>
        </row>
        <row r="3">
          <cell r="B3">
            <v>2007</v>
          </cell>
        </row>
        <row r="4">
          <cell r="B4" t="str">
            <v>2006/07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 val="Data"/>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4e"/>
      <sheetName val="SA35"/>
      <sheetName val="SA36"/>
      <sheetName val="SA37"/>
      <sheetName val="SA38"/>
      <sheetName val="LGDB_EXPORT"/>
    </sheetNames>
    <sheetDataSet>
      <sheetData sheetId="0" refreshError="1"/>
      <sheetData sheetId="1" refreshError="1"/>
      <sheetData sheetId="2"/>
      <sheetData sheetId="3">
        <row r="16">
          <cell r="AC16" t="str">
            <v>Spatial integration</v>
          </cell>
        </row>
      </sheetData>
      <sheetData sheetId="4">
        <row r="2">
          <cell r="A2" t="str">
            <v>Vote 1 - [NAME OF VOTE 1]</v>
          </cell>
        </row>
        <row r="3">
          <cell r="A3" t="str">
            <v>Vote 2 - [NAME OF VOTE 2]</v>
          </cell>
          <cell r="D3" t="str">
            <v>1.1 - [Name of sub-vote]</v>
          </cell>
        </row>
        <row r="4">
          <cell r="A4" t="str">
            <v>Vote 3 - [NAME OF VOTE 3]</v>
          </cell>
          <cell r="D4" t="str">
            <v>1.2 - [Name of sub-vote]</v>
          </cell>
        </row>
        <row r="5">
          <cell r="A5" t="str">
            <v>Vote 4 - [NAME OF VOTE 4]</v>
          </cell>
          <cell r="D5" t="str">
            <v>1.3 - [Name of sub-vote]</v>
          </cell>
        </row>
        <row r="6">
          <cell r="A6" t="str">
            <v>Vote 5 - [NAME OF VOTE 5]</v>
          </cell>
          <cell r="D6" t="str">
            <v>1.4 - [Name of sub-vote]</v>
          </cell>
        </row>
        <row r="7">
          <cell r="A7" t="str">
            <v>Vote 6 - [NAME OF VOTE 6]</v>
          </cell>
          <cell r="D7" t="str">
            <v>1.5 - [Name of sub-vote]</v>
          </cell>
        </row>
        <row r="8">
          <cell r="A8" t="str">
            <v>Vote 7 - [NAME OF VOTE 7]</v>
          </cell>
          <cell r="D8" t="str">
            <v>1.6 - [Name of sub-vote]</v>
          </cell>
        </row>
        <row r="9">
          <cell r="A9" t="str">
            <v>Vote 8 - [NAME OF VOTE 8]</v>
          </cell>
          <cell r="D9" t="str">
            <v>1.7 - [Name of sub-vote]</v>
          </cell>
        </row>
        <row r="10">
          <cell r="A10" t="str">
            <v>Vote 9 - [NAME OF VOTE 9]</v>
          </cell>
          <cell r="D10" t="str">
            <v>1.8 - [Name of sub-vote]</v>
          </cell>
        </row>
        <row r="11">
          <cell r="A11" t="str">
            <v>Vote 10 - [NAME OF VOTE 10]</v>
          </cell>
          <cell r="D11" t="str">
            <v>1.9 - [Name of sub-vote]</v>
          </cell>
        </row>
        <row r="12">
          <cell r="A12" t="str">
            <v>Vote 11 - [NAME OF VOTE 11]</v>
          </cell>
          <cell r="D12" t="str">
            <v>1.10 - [Name of sub-vote]</v>
          </cell>
        </row>
        <row r="13">
          <cell r="A13" t="str">
            <v>Vote 12 - [NAME OF VOTE 12]</v>
          </cell>
        </row>
        <row r="14">
          <cell r="A14" t="str">
            <v>Vote 13 - [NAME OF VOTE 13]</v>
          </cell>
          <cell r="D14" t="str">
            <v>2.1 - [Name of sub-vote]</v>
          </cell>
        </row>
        <row r="15">
          <cell r="A15" t="str">
            <v>Vote 14 - [NAME OF VOTE 14]</v>
          </cell>
          <cell r="D15" t="str">
            <v>2.2 - [Name of sub-vote]</v>
          </cell>
        </row>
        <row r="16">
          <cell r="A16" t="str">
            <v>Vote 15 - [NAME OF VOTE 15]</v>
          </cell>
          <cell r="D16" t="str">
            <v>2.3 - [Name of sub-vote]</v>
          </cell>
        </row>
        <row r="17">
          <cell r="D17" t="str">
            <v>2.4 - [Name of sub-vote]</v>
          </cell>
        </row>
        <row r="18">
          <cell r="D18" t="str">
            <v>2.5 - [Name of sub-vote]</v>
          </cell>
        </row>
        <row r="19">
          <cell r="D19" t="str">
            <v>2.6 - [Name of sub-vote]</v>
          </cell>
        </row>
        <row r="20">
          <cell r="D20" t="str">
            <v>2.7 - [Name of sub-vote]</v>
          </cell>
        </row>
        <row r="21">
          <cell r="D21" t="str">
            <v>2.8 - [Name of sub-vote]</v>
          </cell>
        </row>
        <row r="22">
          <cell r="D22" t="str">
            <v>2.9 - [Name of sub-vote]</v>
          </cell>
        </row>
        <row r="23">
          <cell r="D23" t="str">
            <v>2.10 - [Name of sub-vote]</v>
          </cell>
        </row>
        <row r="25">
          <cell r="D25" t="str">
            <v>3.1 - [Name of sub-vote]</v>
          </cell>
        </row>
        <row r="26">
          <cell r="D26" t="str">
            <v>3.2 - [Name of sub-vote]</v>
          </cell>
        </row>
        <row r="27">
          <cell r="D27" t="str">
            <v>3.3 - [Name of sub-vote]</v>
          </cell>
        </row>
        <row r="28">
          <cell r="D28" t="str">
            <v>3.4 - [Name of sub-vote]</v>
          </cell>
        </row>
        <row r="29">
          <cell r="D29" t="str">
            <v>3.5 - [Name of sub-vote]</v>
          </cell>
        </row>
        <row r="30">
          <cell r="D30" t="str">
            <v>3.6 - [Name of sub-vote]</v>
          </cell>
        </row>
        <row r="31">
          <cell r="D31" t="str">
            <v>3.7 - [Name of sub-vote]</v>
          </cell>
        </row>
        <row r="32">
          <cell r="D32" t="str">
            <v>3.8 - [Name of sub-vote]</v>
          </cell>
        </row>
        <row r="33">
          <cell r="D33" t="str">
            <v>3.9 - [Name of sub-vote]</v>
          </cell>
        </row>
        <row r="34">
          <cell r="D34" t="str">
            <v>3.10 - [Name of sub-vote]</v>
          </cell>
        </row>
        <row r="36">
          <cell r="D36" t="str">
            <v>4.1 - [Name of sub-vote]</v>
          </cell>
        </row>
        <row r="37">
          <cell r="D37" t="str">
            <v>4.2 - [Name of sub-vote]</v>
          </cell>
        </row>
        <row r="38">
          <cell r="D38" t="str">
            <v>4.3 - [Name of sub-vote]</v>
          </cell>
        </row>
        <row r="39">
          <cell r="D39" t="str">
            <v>4.4 - [Name of sub-vote]</v>
          </cell>
        </row>
        <row r="40">
          <cell r="D40" t="str">
            <v>4.5 - [Name of sub-vote]</v>
          </cell>
        </row>
        <row r="41">
          <cell r="D41" t="str">
            <v>4.6 - [Name of sub-vote]</v>
          </cell>
        </row>
        <row r="42">
          <cell r="D42" t="str">
            <v>4.7 - [Name of sub-vote]</v>
          </cell>
        </row>
        <row r="43">
          <cell r="D43" t="str">
            <v>4.8 - [Name of sub-vote]</v>
          </cell>
        </row>
        <row r="44">
          <cell r="D44" t="str">
            <v>4.9 - [Name of sub-vote]</v>
          </cell>
        </row>
        <row r="45">
          <cell r="D45" t="str">
            <v>4.10 - [Name of sub-vote]</v>
          </cell>
        </row>
        <row r="47">
          <cell r="D47" t="str">
            <v>5.1 - [Name of sub-vote]</v>
          </cell>
        </row>
        <row r="48">
          <cell r="D48" t="str">
            <v>5.2 - [Name of sub-vote]</v>
          </cell>
        </row>
        <row r="49">
          <cell r="D49" t="str">
            <v>5.3 - [Name of sub-vote]</v>
          </cell>
        </row>
        <row r="50">
          <cell r="D50" t="str">
            <v>5.4 - [Name of sub-vote]</v>
          </cell>
        </row>
        <row r="51">
          <cell r="D51" t="str">
            <v>5.5 - [Name of sub-vote]</v>
          </cell>
        </row>
        <row r="52">
          <cell r="D52" t="str">
            <v>5.6 - [Name of sub-vote]</v>
          </cell>
        </row>
        <row r="53">
          <cell r="D53" t="str">
            <v>5.7 - [Name of sub-vote]</v>
          </cell>
        </row>
        <row r="54">
          <cell r="D54" t="str">
            <v>5.8 - [Name of sub-vote]</v>
          </cell>
        </row>
        <row r="55">
          <cell r="D55" t="str">
            <v>5.9 - [Name of sub-vote]</v>
          </cell>
        </row>
        <row r="56">
          <cell r="D56" t="str">
            <v>5.10 - [Name of sub-vote]</v>
          </cell>
        </row>
        <row r="58">
          <cell r="D58" t="str">
            <v>6.1 - [Name of sub-vote]</v>
          </cell>
        </row>
        <row r="59">
          <cell r="D59" t="str">
            <v>6.2 - [Name of sub-vote]</v>
          </cell>
        </row>
        <row r="60">
          <cell r="D60" t="str">
            <v>6.3 - [Name of sub-vote]</v>
          </cell>
        </row>
        <row r="61">
          <cell r="D61" t="str">
            <v>6.4 - [Name of sub-vote]</v>
          </cell>
        </row>
        <row r="62">
          <cell r="D62" t="str">
            <v>6.5 - [Name of sub-vote]</v>
          </cell>
        </row>
        <row r="63">
          <cell r="D63" t="str">
            <v>6.6 - [Name of sub-vote]</v>
          </cell>
        </row>
        <row r="64">
          <cell r="D64" t="str">
            <v>6.7 - [Name of sub-vote]</v>
          </cell>
        </row>
        <row r="65">
          <cell r="D65" t="str">
            <v>6.8 - [Name of sub-vote]</v>
          </cell>
        </row>
        <row r="66">
          <cell r="D66" t="str">
            <v>6.9 - [Name of sub-vote]</v>
          </cell>
        </row>
        <row r="67">
          <cell r="D67" t="str">
            <v>6.10 - [Name of sub-vote]</v>
          </cell>
        </row>
        <row r="69">
          <cell r="D69" t="str">
            <v>7.1 - [Name of sub-vote]</v>
          </cell>
        </row>
        <row r="70">
          <cell r="D70" t="str">
            <v>7.2 - [Name of sub-vote]</v>
          </cell>
        </row>
        <row r="71">
          <cell r="D71" t="str">
            <v>7.3 - [Name of sub-vote]</v>
          </cell>
        </row>
        <row r="72">
          <cell r="D72" t="str">
            <v>7.4 - [Name of sub-vote]</v>
          </cell>
        </row>
        <row r="73">
          <cell r="D73" t="str">
            <v>7.5 - [Name of sub-vote]</v>
          </cell>
        </row>
        <row r="74">
          <cell r="D74" t="str">
            <v>7.6 - [Name of sub-vote]</v>
          </cell>
        </row>
        <row r="75">
          <cell r="D75" t="str">
            <v>7.7 - [Name of sub-vote]</v>
          </cell>
        </row>
        <row r="76">
          <cell r="D76" t="str">
            <v>7.8 - [Name of sub-vote]</v>
          </cell>
        </row>
        <row r="77">
          <cell r="D77" t="str">
            <v>7.9 - [Name of sub-vote]</v>
          </cell>
        </row>
        <row r="78">
          <cell r="D78" t="str">
            <v>7.10 - [Name of sub-vote]</v>
          </cell>
        </row>
        <row r="80">
          <cell r="D80" t="str">
            <v>8.1 - [Name of sub-vote]</v>
          </cell>
        </row>
        <row r="81">
          <cell r="D81" t="str">
            <v>8.2 - [Name of sub-vote]</v>
          </cell>
        </row>
        <row r="82">
          <cell r="D82" t="str">
            <v>8.3 - [Name of sub-vote]</v>
          </cell>
        </row>
        <row r="83">
          <cell r="D83" t="str">
            <v>8.4 - [Name of sub-vote]</v>
          </cell>
        </row>
        <row r="84">
          <cell r="D84" t="str">
            <v>8.5 - [Name of sub-vote]</v>
          </cell>
        </row>
        <row r="85">
          <cell r="D85" t="str">
            <v>8.6 - [Name of sub-vote]</v>
          </cell>
        </row>
        <row r="86">
          <cell r="D86" t="str">
            <v>8.7 - [Name of sub-vote]</v>
          </cell>
        </row>
        <row r="87">
          <cell r="D87" t="str">
            <v>8.8 - [Name of sub-vote]</v>
          </cell>
        </row>
        <row r="88">
          <cell r="D88" t="str">
            <v>8.9 - [Name of sub-vote]</v>
          </cell>
        </row>
        <row r="89">
          <cell r="D89" t="str">
            <v>8.10 - [Name of sub-vote]</v>
          </cell>
        </row>
        <row r="91">
          <cell r="D91" t="str">
            <v>9.1 - [Name of sub-vote]</v>
          </cell>
        </row>
        <row r="92">
          <cell r="D92" t="str">
            <v>9.2 - [Name of sub-vote]</v>
          </cell>
        </row>
        <row r="93">
          <cell r="D93" t="str">
            <v>9.3 - [Name of sub-vote]</v>
          </cell>
        </row>
        <row r="94">
          <cell r="D94" t="str">
            <v>9.4 - [Name of sub-vote]</v>
          </cell>
        </row>
        <row r="95">
          <cell r="D95" t="str">
            <v>9.5 - [Name of sub-vote]</v>
          </cell>
        </row>
        <row r="96">
          <cell r="D96" t="str">
            <v>9.6 - [Name of sub-vote]</v>
          </cell>
        </row>
        <row r="97">
          <cell r="D97" t="str">
            <v>9.7 - [Name of sub-vote]</v>
          </cell>
        </row>
        <row r="98">
          <cell r="D98" t="str">
            <v>9.8 - [Name of sub-vote]</v>
          </cell>
        </row>
        <row r="99">
          <cell r="D99" t="str">
            <v>9.9 - [Name of sub-vote]</v>
          </cell>
        </row>
        <row r="100">
          <cell r="D100" t="str">
            <v>9.10 - [Name of sub-vote]</v>
          </cell>
        </row>
        <row r="102">
          <cell r="D102" t="str">
            <v>10.1 - [Name of sub-vote]</v>
          </cell>
        </row>
        <row r="103">
          <cell r="D103" t="str">
            <v>10.2 - [Name of sub-vote]</v>
          </cell>
        </row>
        <row r="104">
          <cell r="D104" t="str">
            <v>10.3 - [Name of sub-vote]</v>
          </cell>
        </row>
        <row r="105">
          <cell r="D105" t="str">
            <v>10.4 - [Name of sub-vote]</v>
          </cell>
        </row>
        <row r="106">
          <cell r="D106" t="str">
            <v>10.5 - [Name of sub-vote]</v>
          </cell>
        </row>
        <row r="107">
          <cell r="D107" t="str">
            <v>10.6 - [Name of sub-vote]</v>
          </cell>
        </row>
        <row r="108">
          <cell r="D108" t="str">
            <v>10.7 - [Name of sub-vote]</v>
          </cell>
        </row>
        <row r="109">
          <cell r="D109" t="str">
            <v>10.8 - [Name of sub-vote]</v>
          </cell>
        </row>
        <row r="110">
          <cell r="D110" t="str">
            <v>10.9 - [Name of sub-vote]</v>
          </cell>
        </row>
        <row r="111">
          <cell r="D111" t="str">
            <v>10.10 - [Name of sub-vote]</v>
          </cell>
        </row>
        <row r="113">
          <cell r="D113" t="str">
            <v>11.1 - [Name of sub-vote]</v>
          </cell>
        </row>
        <row r="114">
          <cell r="D114" t="str">
            <v>11.2 - [Name of sub-vote]</v>
          </cell>
        </row>
        <row r="115">
          <cell r="D115" t="str">
            <v>11.3 - [Name of sub-vote]</v>
          </cell>
        </row>
        <row r="116">
          <cell r="D116" t="str">
            <v>11.4 - [Name of sub-vote]</v>
          </cell>
        </row>
        <row r="117">
          <cell r="D117" t="str">
            <v>11.5 - [Name of sub-vote]</v>
          </cell>
        </row>
        <row r="118">
          <cell r="D118" t="str">
            <v>11.6 - [Name of sub-vote]</v>
          </cell>
        </row>
        <row r="119">
          <cell r="D119" t="str">
            <v>11.7 - [Name of sub-vote]</v>
          </cell>
        </row>
        <row r="120">
          <cell r="D120" t="str">
            <v>11.8 - [Name of sub-vote]</v>
          </cell>
        </row>
        <row r="121">
          <cell r="D121" t="str">
            <v>11.9 - [Name of sub-vote]</v>
          </cell>
        </row>
        <row r="122">
          <cell r="D122" t="str">
            <v>11.10 - [Name of sub-vote]</v>
          </cell>
        </row>
        <row r="124">
          <cell r="D124" t="str">
            <v>12.1 - [Name of sub-vote]</v>
          </cell>
        </row>
        <row r="125">
          <cell r="D125" t="str">
            <v>12.2 - [Name of sub-vote]</v>
          </cell>
        </row>
        <row r="126">
          <cell r="D126" t="str">
            <v>12.3 - [Name of sub-vote]</v>
          </cell>
        </row>
        <row r="127">
          <cell r="D127" t="str">
            <v>12.4 - [Name of sub-vote]</v>
          </cell>
        </row>
        <row r="128">
          <cell r="D128" t="str">
            <v>12.5 - [Name of sub-vote]</v>
          </cell>
        </row>
        <row r="129">
          <cell r="D129" t="str">
            <v>12.6 - [Name of sub-vote]</v>
          </cell>
        </row>
        <row r="130">
          <cell r="D130" t="str">
            <v>12.7 - [Name of sub-vote]</v>
          </cell>
        </row>
        <row r="131">
          <cell r="D131" t="str">
            <v>12.8 - [Name of sub-vote]</v>
          </cell>
        </row>
        <row r="132">
          <cell r="D132" t="str">
            <v>12.9 - [Name of sub-vote]</v>
          </cell>
        </row>
        <row r="133">
          <cell r="D133" t="str">
            <v>12.10 - [Name of sub-vote]</v>
          </cell>
        </row>
        <row r="135">
          <cell r="D135" t="str">
            <v>13.1 - [Name of sub-vote]</v>
          </cell>
        </row>
        <row r="136">
          <cell r="D136" t="str">
            <v>13.2 - [Name of sub-vote]</v>
          </cell>
        </row>
        <row r="137">
          <cell r="D137" t="str">
            <v>13.3 - [Name of sub-vote]</v>
          </cell>
        </row>
        <row r="138">
          <cell r="D138" t="str">
            <v>13.4 - [Name of sub-vote]</v>
          </cell>
        </row>
        <row r="139">
          <cell r="D139" t="str">
            <v>13.5 - [Name of sub-vote]</v>
          </cell>
        </row>
        <row r="140">
          <cell r="D140" t="str">
            <v>13.6 - [Name of sub-vote]</v>
          </cell>
        </row>
        <row r="141">
          <cell r="D141" t="str">
            <v>13.7 - [Name of sub-vote]</v>
          </cell>
        </row>
        <row r="142">
          <cell r="D142" t="str">
            <v>13.8 - [Name of sub-vote]</v>
          </cell>
        </row>
        <row r="143">
          <cell r="D143" t="str">
            <v>13.9 - [Name of sub-vote]</v>
          </cell>
        </row>
        <row r="144">
          <cell r="D144" t="str">
            <v>13.10 - [Name of sub-vote]</v>
          </cell>
        </row>
        <row r="146">
          <cell r="D146" t="str">
            <v>14.1 - [Name of sub-vote]</v>
          </cell>
        </row>
        <row r="147">
          <cell r="D147" t="str">
            <v>14.2 - [Name of sub-vote]</v>
          </cell>
        </row>
        <row r="148">
          <cell r="D148" t="str">
            <v>14.3 - [Name of sub-vote]</v>
          </cell>
        </row>
        <row r="149">
          <cell r="D149" t="str">
            <v>14.4 - [Name of sub-vote]</v>
          </cell>
        </row>
        <row r="150">
          <cell r="D150" t="str">
            <v>14.5 - [Name of sub-vote]</v>
          </cell>
        </row>
        <row r="151">
          <cell r="D151" t="str">
            <v>14.6 - [Name of sub-vote]</v>
          </cell>
        </row>
        <row r="152">
          <cell r="D152" t="str">
            <v>14.7 - [Name of sub-vote]</v>
          </cell>
        </row>
        <row r="153">
          <cell r="D153" t="str">
            <v>14.8 - [Name of sub-vote]</v>
          </cell>
        </row>
        <row r="154">
          <cell r="D154" t="str">
            <v>14.9 - [Name of sub-vote]</v>
          </cell>
        </row>
        <row r="155">
          <cell r="D155" t="str">
            <v>14.10 - [Name of sub-vote]</v>
          </cell>
        </row>
        <row r="157">
          <cell r="D157" t="str">
            <v>15.1 - [Name of sub-vote]</v>
          </cell>
        </row>
        <row r="158">
          <cell r="D158" t="str">
            <v>15.2 - [Name of sub-vote]</v>
          </cell>
        </row>
        <row r="159">
          <cell r="D159" t="str">
            <v>15.3 - [Name of sub-vote]</v>
          </cell>
        </row>
        <row r="160">
          <cell r="D160" t="str">
            <v>15.4 - [Name of sub-vote]</v>
          </cell>
        </row>
        <row r="161">
          <cell r="D161" t="str">
            <v>15.5 - [Name of sub-vote]</v>
          </cell>
        </row>
        <row r="162">
          <cell r="D162" t="str">
            <v>15.6 - [Name of sub-vote]</v>
          </cell>
        </row>
        <row r="163">
          <cell r="D163" t="str">
            <v>15.7 - [Name of sub-vote]</v>
          </cell>
        </row>
        <row r="164">
          <cell r="D164" t="str">
            <v>15.8 - [Name of sub-vote]</v>
          </cell>
        </row>
        <row r="165">
          <cell r="D165" t="str">
            <v>15.9 - [Name of sub-vote]</v>
          </cell>
        </row>
        <row r="166">
          <cell r="D166" t="str">
            <v>15.10 - [Name of sub-vote]</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ontrol" Target="../activeX/activeX8.xml"/><Relationship Id="rId3" Type="http://schemas.openxmlformats.org/officeDocument/2006/relationships/vmlDrawing" Target="../drawings/vmlDrawing2.vml"/><Relationship Id="rId21" Type="http://schemas.openxmlformats.org/officeDocument/2006/relationships/ctrlProp" Target="../ctrlProps/ctrlProp3.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3.xml"/><Relationship Id="rId16" Type="http://schemas.openxmlformats.org/officeDocument/2006/relationships/control" Target="../activeX/activeX7.xml"/><Relationship Id="rId20" Type="http://schemas.openxmlformats.org/officeDocument/2006/relationships/ctrlProp" Target="../ctrlProps/ctrlProp2.xml"/><Relationship Id="rId1" Type="http://schemas.openxmlformats.org/officeDocument/2006/relationships/printerSettings" Target="../printerSettings/printerSettings4.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image" Target="../media/image16.emf"/><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6"/>
  </sheetPr>
  <dimension ref="A1"/>
  <sheetViews>
    <sheetView showGridLines="0" zoomScale="110" workbookViewId="0"/>
  </sheetViews>
  <sheetFormatPr defaultColWidth="8" defaultRowHeight="12.75" x14ac:dyDescent="0.2"/>
  <cols>
    <col min="1" max="16384" width="8" style="311"/>
  </cols>
  <sheetData>
    <row r="1" spans="1:1" x14ac:dyDescent="0.2">
      <c r="A1" s="311" t="str">
        <f>'Lookup and lists'!B28</f>
        <v>DC43 Harry Gwala</v>
      </c>
    </row>
  </sheetData>
  <sheetProtection sheet="1" objects="1" scenarios="1"/>
  <phoneticPr fontId="18" type="noConversion"/>
  <pageMargins left="0.75" right="0.75" top="1" bottom="1" header="0.5" footer="0.5"/>
  <pageSetup scale="7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9">
    <tabColor indexed="44"/>
    <pageSetUpPr fitToPage="1"/>
  </sheetPr>
  <dimension ref="A1:W82"/>
  <sheetViews>
    <sheetView showGridLines="0" zoomScaleNormal="100" workbookViewId="0">
      <pane xSplit="2" ySplit="3" topLeftCell="C21" activePane="bottomRight" state="frozen"/>
      <selection activeCell="A23" sqref="A23"/>
      <selection pane="topRight" activeCell="A23" sqref="A23"/>
      <selection pane="bottomLeft" activeCell="A23" sqref="A23"/>
      <selection pane="bottomRight" activeCell="I36" sqref="I36"/>
    </sheetView>
  </sheetViews>
  <sheetFormatPr defaultColWidth="9.140625" defaultRowHeight="12.75" x14ac:dyDescent="0.25"/>
  <cols>
    <col min="1" max="1" width="35.7109375" style="17" customWidth="1"/>
    <col min="2" max="2" width="3.140625" style="32" customWidth="1"/>
    <col min="3" max="11" width="8.7109375" style="17" customWidth="1"/>
    <col min="12" max="12" width="9.85546875" style="17" customWidth="1"/>
    <col min="13" max="13" width="9.5703125" style="17" customWidth="1"/>
    <col min="14" max="14" width="9.85546875" style="17" customWidth="1"/>
    <col min="15" max="17" width="9.5703125" style="17" customWidth="1"/>
    <col min="18" max="18" width="9.85546875" style="17" customWidth="1"/>
    <col min="19" max="21" width="9.5703125" style="17" customWidth="1"/>
    <col min="22" max="23" width="9.85546875" style="17" customWidth="1"/>
    <col min="24" max="16384" width="9.140625" style="17"/>
  </cols>
  <sheetData>
    <row r="1" spans="1:11" ht="13.5" x14ac:dyDescent="0.25">
      <c r="A1" s="88" t="str">
        <f>_MEB4</f>
        <v>Harry Gwala Development Agency (Pty) Ltd - Table D5 Budgeted Cash Flow</v>
      </c>
    </row>
    <row r="2" spans="1:11" ht="27.75" customHeight="1" x14ac:dyDescent="0.25">
      <c r="A2" s="301" t="str">
        <f>desc</f>
        <v>Description</v>
      </c>
      <c r="B2" s="303" t="str">
        <f>head27</f>
        <v>Ref</v>
      </c>
      <c r="C2" s="85" t="str">
        <f>head1b</f>
        <v>2015/16</v>
      </c>
      <c r="D2" s="18" t="str">
        <f>head1A</f>
        <v>2016/17</v>
      </c>
      <c r="E2" s="80" t="str">
        <f>Head1</f>
        <v>2017/18</v>
      </c>
      <c r="F2" s="519" t="str">
        <f>Head2</f>
        <v>Current Year 2018/19</v>
      </c>
      <c r="G2" s="523"/>
      <c r="H2" s="524"/>
      <c r="I2" s="106" t="str">
        <f>Head3a</f>
        <v>Medium Term Revenue and Expenditure Framework</v>
      </c>
      <c r="J2" s="104"/>
      <c r="K2" s="105"/>
    </row>
    <row r="3" spans="1:11" ht="27.75" customHeight="1" x14ac:dyDescent="0.25">
      <c r="A3" s="306" t="s">
        <v>186</v>
      </c>
      <c r="B3" s="304"/>
      <c r="C3" s="101" t="str">
        <f>Head5</f>
        <v>Audited Outcome</v>
      </c>
      <c r="D3" s="79" t="str">
        <f>Head5</f>
        <v>Audited Outcome</v>
      </c>
      <c r="E3" s="300" t="str">
        <f>Head5</f>
        <v>Audited Outcome</v>
      </c>
      <c r="F3" s="299" t="str">
        <f>Head6</f>
        <v>Original Budget</v>
      </c>
      <c r="G3" s="102" t="str">
        <f>Head7</f>
        <v>Adjusted Budget</v>
      </c>
      <c r="H3" s="300" t="str">
        <f>Head8</f>
        <v>Full Year Forecast</v>
      </c>
      <c r="I3" s="299" t="str">
        <f>Head9</f>
        <v>Budget Year 2019/20</v>
      </c>
      <c r="J3" s="102" t="str">
        <f>Head10</f>
        <v>Budget Year +1 2020/21</v>
      </c>
      <c r="K3" s="300" t="str">
        <f>Head11</f>
        <v>Budget Year +2 2021/22</v>
      </c>
    </row>
    <row r="4" spans="1:11" ht="12.75" customHeight="1" x14ac:dyDescent="0.25">
      <c r="A4" s="45" t="s">
        <v>312</v>
      </c>
      <c r="B4" s="90"/>
      <c r="C4" s="24"/>
      <c r="D4" s="23"/>
      <c r="E4" s="83"/>
      <c r="F4" s="24"/>
      <c r="G4" s="23"/>
      <c r="H4" s="83"/>
      <c r="I4" s="24"/>
      <c r="J4" s="23"/>
      <c r="K4" s="83"/>
    </row>
    <row r="5" spans="1:11" ht="12.75" customHeight="1" x14ac:dyDescent="0.25">
      <c r="A5" s="45" t="s">
        <v>340</v>
      </c>
      <c r="B5" s="90"/>
      <c r="C5" s="24"/>
      <c r="D5" s="23"/>
      <c r="E5" s="83"/>
      <c r="F5" s="24"/>
      <c r="G5" s="23"/>
      <c r="H5" s="83"/>
      <c r="I5" s="24"/>
      <c r="J5" s="23"/>
      <c r="K5" s="83"/>
    </row>
    <row r="6" spans="1:11" ht="12.75" customHeight="1" x14ac:dyDescent="0.25">
      <c r="A6" s="20" t="s">
        <v>363</v>
      </c>
      <c r="B6" s="90"/>
      <c r="C6" s="168"/>
      <c r="D6" s="166"/>
      <c r="E6" s="167"/>
      <c r="F6" s="168"/>
      <c r="G6" s="166"/>
      <c r="H6" s="167"/>
      <c r="I6" s="168"/>
      <c r="J6" s="166"/>
      <c r="K6" s="167"/>
    </row>
    <row r="7" spans="1:11" ht="12.75" customHeight="1" x14ac:dyDescent="0.25">
      <c r="A7" s="20" t="s">
        <v>407</v>
      </c>
      <c r="B7" s="90"/>
      <c r="C7" s="168"/>
      <c r="D7" s="166"/>
      <c r="E7" s="167"/>
      <c r="F7" s="168"/>
      <c r="G7" s="166"/>
      <c r="H7" s="167"/>
      <c r="I7" s="168"/>
      <c r="J7" s="166"/>
      <c r="K7" s="167"/>
    </row>
    <row r="8" spans="1:11" ht="12.75" customHeight="1" x14ac:dyDescent="0.25">
      <c r="A8" s="20" t="s">
        <v>20</v>
      </c>
      <c r="B8" s="90"/>
      <c r="C8" s="167">
        <v>305027</v>
      </c>
      <c r="D8" s="166">
        <v>1703256</v>
      </c>
      <c r="E8" s="167">
        <v>474061</v>
      </c>
      <c r="F8" s="168">
        <v>7500</v>
      </c>
      <c r="G8" s="166">
        <v>15000</v>
      </c>
      <c r="H8" s="167">
        <f>G8</f>
        <v>15000</v>
      </c>
      <c r="I8" s="168">
        <v>15000</v>
      </c>
      <c r="J8" s="166">
        <f>I8*1.05</f>
        <v>15750</v>
      </c>
      <c r="K8" s="167">
        <f>J8*1.05</f>
        <v>16537.5</v>
      </c>
    </row>
    <row r="9" spans="1:11" ht="12.75" customHeight="1" x14ac:dyDescent="0.25">
      <c r="A9" s="20" t="s">
        <v>205</v>
      </c>
      <c r="B9" s="90"/>
      <c r="C9" s="167">
        <v>36948324</v>
      </c>
      <c r="D9" s="166">
        <v>17333333</v>
      </c>
      <c r="E9" s="167">
        <v>8000000</v>
      </c>
      <c r="F9" s="168">
        <v>15000000</v>
      </c>
      <c r="G9" s="166">
        <v>17000000</v>
      </c>
      <c r="H9" s="167">
        <f t="shared" ref="H9:H11" si="0">G9</f>
        <v>17000000</v>
      </c>
      <c r="I9" s="168">
        <v>15400000</v>
      </c>
      <c r="J9" s="166">
        <f>I9*1.05</f>
        <v>16170000</v>
      </c>
      <c r="K9" s="167">
        <f>J9*1.05</f>
        <v>16978500</v>
      </c>
    </row>
    <row r="10" spans="1:11" ht="12.75" customHeight="1" x14ac:dyDescent="0.25">
      <c r="A10" s="20" t="s">
        <v>206</v>
      </c>
      <c r="B10" s="90"/>
      <c r="C10" s="167">
        <v>0</v>
      </c>
      <c r="D10" s="166"/>
      <c r="E10" s="167"/>
      <c r="F10" s="168"/>
      <c r="G10" s="166"/>
      <c r="H10" s="167">
        <f t="shared" si="0"/>
        <v>0</v>
      </c>
      <c r="I10" s="168"/>
      <c r="J10" s="166"/>
      <c r="K10" s="167"/>
    </row>
    <row r="11" spans="1:11" ht="12.75" customHeight="1" x14ac:dyDescent="0.25">
      <c r="A11" s="20" t="s">
        <v>329</v>
      </c>
      <c r="B11" s="90"/>
      <c r="C11" s="167">
        <v>293364</v>
      </c>
      <c r="D11" s="166">
        <v>785839</v>
      </c>
      <c r="E11" s="167">
        <v>730957</v>
      </c>
      <c r="F11" s="168">
        <v>300000</v>
      </c>
      <c r="G11" s="166">
        <v>620000</v>
      </c>
      <c r="H11" s="167">
        <f t="shared" si="0"/>
        <v>620000</v>
      </c>
      <c r="I11" s="168">
        <v>530500</v>
      </c>
      <c r="J11" s="166">
        <f>I11*1.05</f>
        <v>557025</v>
      </c>
      <c r="K11" s="167">
        <f>J11*1.05</f>
        <v>584876.25</v>
      </c>
    </row>
    <row r="12" spans="1:11" ht="12.75" customHeight="1" x14ac:dyDescent="0.25">
      <c r="A12" s="20" t="s">
        <v>185</v>
      </c>
      <c r="B12" s="90"/>
      <c r="C12" s="168"/>
      <c r="D12" s="166"/>
      <c r="E12" s="167"/>
      <c r="F12" s="168"/>
      <c r="G12" s="166"/>
      <c r="H12" s="167"/>
      <c r="I12" s="168"/>
      <c r="J12" s="166"/>
      <c r="K12" s="167"/>
    </row>
    <row r="13" spans="1:11" ht="12.75" customHeight="1" x14ac:dyDescent="0.25">
      <c r="A13" s="45" t="s">
        <v>341</v>
      </c>
      <c r="B13" s="90">
        <v>2</v>
      </c>
      <c r="C13" s="24"/>
      <c r="D13" s="23"/>
      <c r="E13" s="83"/>
      <c r="F13" s="24"/>
      <c r="G13" s="23"/>
      <c r="H13" s="83"/>
      <c r="I13" s="24"/>
      <c r="J13" s="23"/>
      <c r="K13" s="83"/>
    </row>
    <row r="14" spans="1:11" ht="12.75" customHeight="1" x14ac:dyDescent="0.25">
      <c r="A14" s="20" t="s">
        <v>207</v>
      </c>
      <c r="B14" s="90"/>
      <c r="C14" s="167">
        <v>-33395514</v>
      </c>
      <c r="D14" s="166">
        <v>-13611672</v>
      </c>
      <c r="E14" s="167">
        <v>-12419334</v>
      </c>
      <c r="F14" s="168">
        <v>-14499000</v>
      </c>
      <c r="G14" s="166">
        <v>-17626000</v>
      </c>
      <c r="H14" s="167">
        <f t="shared" ref="H14:H15" si="1">G14</f>
        <v>-17626000</v>
      </c>
      <c r="I14" s="168">
        <f>-25088500+9155000+225000</f>
        <v>-15708500</v>
      </c>
      <c r="J14" s="166">
        <f>I14*1.05</f>
        <v>-16493925</v>
      </c>
      <c r="K14" s="167">
        <f t="shared" ref="K14" si="2">J14*1.05</f>
        <v>-17318621.25</v>
      </c>
    </row>
    <row r="15" spans="1:11" ht="12.75" customHeight="1" x14ac:dyDescent="0.25">
      <c r="A15" s="20" t="s">
        <v>19</v>
      </c>
      <c r="B15" s="90"/>
      <c r="C15" s="167">
        <v>-6591</v>
      </c>
      <c r="D15" s="166">
        <v>-7297</v>
      </c>
      <c r="E15" s="167">
        <v>-2449</v>
      </c>
      <c r="F15" s="168">
        <v>-9000</v>
      </c>
      <c r="G15" s="166">
        <v>-9000</v>
      </c>
      <c r="H15" s="167">
        <f t="shared" si="1"/>
        <v>-9000</v>
      </c>
      <c r="I15" s="168">
        <v>-12000</v>
      </c>
      <c r="J15" s="166">
        <f t="shared" ref="J15:K15" si="3">I15*1.05</f>
        <v>-12600</v>
      </c>
      <c r="K15" s="167">
        <f t="shared" si="3"/>
        <v>-13230</v>
      </c>
    </row>
    <row r="16" spans="1:11" ht="12.75" customHeight="1" x14ac:dyDescent="0.25">
      <c r="A16" s="20" t="s">
        <v>331</v>
      </c>
      <c r="B16" s="90"/>
      <c r="C16" s="168"/>
      <c r="D16" s="166"/>
      <c r="E16" s="167"/>
      <c r="F16" s="168"/>
      <c r="G16" s="166"/>
      <c r="H16" s="167"/>
      <c r="I16" s="168"/>
      <c r="J16" s="166"/>
      <c r="K16" s="167"/>
    </row>
    <row r="17" spans="1:23" ht="12.75" customHeight="1" x14ac:dyDescent="0.25">
      <c r="A17" s="20" t="s">
        <v>771</v>
      </c>
      <c r="B17" s="90"/>
      <c r="C17" s="168"/>
      <c r="D17" s="166"/>
      <c r="E17" s="167"/>
      <c r="F17" s="168"/>
      <c r="G17" s="166"/>
      <c r="H17" s="167"/>
      <c r="I17" s="168"/>
      <c r="J17" s="166"/>
      <c r="K17" s="167"/>
    </row>
    <row r="18" spans="1:23" ht="12.75" customHeight="1" x14ac:dyDescent="0.25">
      <c r="A18" s="47" t="s">
        <v>334</v>
      </c>
      <c r="B18" s="107"/>
      <c r="C18" s="39">
        <f>SUM(C6:C12)+SUM(C14:C17)</f>
        <v>4144610</v>
      </c>
      <c r="D18" s="38">
        <f t="shared" ref="D18:K18" si="4">SUM(D6:D12)+SUM(D14:D17)</f>
        <v>6203459</v>
      </c>
      <c r="E18" s="84">
        <f t="shared" si="4"/>
        <v>-3216765</v>
      </c>
      <c r="F18" s="39">
        <f t="shared" si="4"/>
        <v>799500</v>
      </c>
      <c r="G18" s="38">
        <f t="shared" si="4"/>
        <v>0</v>
      </c>
      <c r="H18" s="84">
        <f t="shared" si="4"/>
        <v>0</v>
      </c>
      <c r="I18" s="39">
        <f t="shared" si="4"/>
        <v>225000</v>
      </c>
      <c r="J18" s="38">
        <f t="shared" si="4"/>
        <v>236250</v>
      </c>
      <c r="K18" s="84">
        <f t="shared" si="4"/>
        <v>248062.5</v>
      </c>
      <c r="L18" s="35"/>
      <c r="M18" s="35"/>
      <c r="N18" s="35"/>
      <c r="O18" s="35"/>
      <c r="P18" s="35"/>
      <c r="Q18" s="35"/>
      <c r="R18" s="35"/>
      <c r="S18" s="35"/>
      <c r="T18" s="35"/>
      <c r="U18" s="35"/>
      <c r="V18" s="35"/>
      <c r="W18" s="35"/>
    </row>
    <row r="19" spans="1:23" ht="5.0999999999999996" customHeight="1" x14ac:dyDescent="0.25">
      <c r="A19" s="21"/>
      <c r="B19" s="90"/>
      <c r="C19" s="24"/>
      <c r="D19" s="23"/>
      <c r="E19" s="83"/>
      <c r="F19" s="24"/>
      <c r="G19" s="23"/>
      <c r="H19" s="83"/>
      <c r="I19" s="24"/>
      <c r="J19" s="23"/>
      <c r="K19" s="83"/>
    </row>
    <row r="20" spans="1:23" ht="12.75" customHeight="1" x14ac:dyDescent="0.25">
      <c r="A20" s="45" t="s">
        <v>233</v>
      </c>
      <c r="B20" s="90"/>
      <c r="C20" s="24"/>
      <c r="D20" s="23"/>
      <c r="E20" s="83"/>
      <c r="F20" s="24"/>
      <c r="G20" s="23"/>
      <c r="H20" s="83"/>
      <c r="I20" s="24"/>
      <c r="J20" s="23"/>
      <c r="K20" s="83"/>
    </row>
    <row r="21" spans="1:23" ht="12.75" customHeight="1" x14ac:dyDescent="0.25">
      <c r="A21" s="45" t="s">
        <v>340</v>
      </c>
      <c r="B21" s="90"/>
      <c r="C21" s="24"/>
      <c r="D21" s="23"/>
      <c r="E21" s="83"/>
      <c r="F21" s="24"/>
      <c r="G21" s="23"/>
      <c r="H21" s="83"/>
      <c r="I21" s="24"/>
      <c r="J21" s="23"/>
      <c r="K21" s="83"/>
    </row>
    <row r="22" spans="1:23" ht="12.75" customHeight="1" x14ac:dyDescent="0.25">
      <c r="A22" s="20" t="s">
        <v>360</v>
      </c>
      <c r="B22" s="90"/>
      <c r="C22" s="168"/>
      <c r="D22" s="166"/>
      <c r="E22" s="167"/>
      <c r="F22" s="168"/>
      <c r="G22" s="166"/>
      <c r="H22" s="167"/>
      <c r="I22" s="168"/>
      <c r="J22" s="166"/>
      <c r="K22" s="167"/>
    </row>
    <row r="23" spans="1:23" ht="12.75" customHeight="1" x14ac:dyDescent="0.25">
      <c r="A23" s="20" t="s">
        <v>9</v>
      </c>
      <c r="B23" s="90"/>
      <c r="C23" s="168"/>
      <c r="D23" s="166"/>
      <c r="E23" s="167"/>
      <c r="F23" s="168"/>
      <c r="G23" s="166"/>
      <c r="H23" s="167"/>
      <c r="I23" s="168"/>
      <c r="J23" s="166"/>
      <c r="K23" s="167"/>
    </row>
    <row r="24" spans="1:23" ht="12.75" customHeight="1" x14ac:dyDescent="0.25">
      <c r="A24" s="20" t="s">
        <v>332</v>
      </c>
      <c r="B24" s="94"/>
      <c r="C24" s="168"/>
      <c r="D24" s="166"/>
      <c r="E24" s="167"/>
      <c r="F24" s="168"/>
      <c r="G24" s="166"/>
      <c r="H24" s="167"/>
      <c r="I24" s="168"/>
      <c r="J24" s="166"/>
      <c r="K24" s="167"/>
    </row>
    <row r="25" spans="1:23" ht="12.75" customHeight="1" x14ac:dyDescent="0.25">
      <c r="A25" s="20" t="s">
        <v>333</v>
      </c>
      <c r="B25" s="90"/>
      <c r="C25" s="168"/>
      <c r="D25" s="166"/>
      <c r="E25" s="167"/>
      <c r="F25" s="168"/>
      <c r="G25" s="166"/>
      <c r="H25" s="167"/>
      <c r="I25" s="168"/>
      <c r="J25" s="166"/>
      <c r="K25" s="167"/>
    </row>
    <row r="26" spans="1:23" ht="12.75" customHeight="1" x14ac:dyDescent="0.25">
      <c r="A26" s="45" t="s">
        <v>341</v>
      </c>
      <c r="B26" s="90"/>
      <c r="C26" s="24"/>
      <c r="D26" s="23"/>
      <c r="E26" s="83"/>
      <c r="F26" s="24"/>
      <c r="G26" s="23"/>
      <c r="H26" s="83"/>
      <c r="I26" s="24"/>
      <c r="J26" s="23"/>
      <c r="K26" s="83"/>
    </row>
    <row r="27" spans="1:23" ht="12.75" customHeight="1" x14ac:dyDescent="0.25">
      <c r="A27" s="20" t="s">
        <v>208</v>
      </c>
      <c r="B27" s="90"/>
      <c r="C27" s="507">
        <v>-667861</v>
      </c>
      <c r="D27" s="166">
        <v>-1085797</v>
      </c>
      <c r="E27" s="167">
        <v>-123994</v>
      </c>
      <c r="F27" s="168">
        <v>-497301</v>
      </c>
      <c r="G27" s="166">
        <v>-497301</v>
      </c>
      <c r="H27" s="168">
        <f>G27</f>
        <v>-497301</v>
      </c>
      <c r="I27" s="168">
        <v>-225000</v>
      </c>
      <c r="J27" s="166">
        <f>I27*1.05</f>
        <v>-236250</v>
      </c>
      <c r="K27" s="166">
        <f>J27*1.05</f>
        <v>-248062.5</v>
      </c>
    </row>
    <row r="28" spans="1:23" ht="12.75" customHeight="1" x14ac:dyDescent="0.25">
      <c r="A28" s="47" t="s">
        <v>335</v>
      </c>
      <c r="B28" s="107"/>
      <c r="C28" s="39">
        <f>SUM(C22:C25)+C27</f>
        <v>-667861</v>
      </c>
      <c r="D28" s="38">
        <f t="shared" ref="D28:K28" si="5">SUM(D22:D25)+D27</f>
        <v>-1085797</v>
      </c>
      <c r="E28" s="84">
        <f t="shared" si="5"/>
        <v>-123994</v>
      </c>
      <c r="F28" s="39">
        <f t="shared" si="5"/>
        <v>-497301</v>
      </c>
      <c r="G28" s="38">
        <f t="shared" si="5"/>
        <v>-497301</v>
      </c>
      <c r="H28" s="84">
        <f t="shared" si="5"/>
        <v>-497301</v>
      </c>
      <c r="I28" s="39">
        <f t="shared" si="5"/>
        <v>-225000</v>
      </c>
      <c r="J28" s="38">
        <f t="shared" si="5"/>
        <v>-236250</v>
      </c>
      <c r="K28" s="84">
        <f t="shared" si="5"/>
        <v>-248062.5</v>
      </c>
      <c r="L28" s="35"/>
      <c r="M28" s="35"/>
      <c r="N28" s="35"/>
      <c r="O28" s="35"/>
      <c r="P28" s="35"/>
      <c r="Q28" s="35"/>
      <c r="R28" s="35"/>
      <c r="S28" s="35"/>
      <c r="T28" s="35"/>
      <c r="U28" s="35"/>
      <c r="V28" s="35"/>
      <c r="W28" s="35"/>
    </row>
    <row r="29" spans="1:23" ht="5.0999999999999996" customHeight="1" x14ac:dyDescent="0.25">
      <c r="A29" s="21"/>
      <c r="B29" s="90"/>
      <c r="C29" s="24"/>
      <c r="D29" s="23"/>
      <c r="E29" s="83"/>
      <c r="F29" s="24"/>
      <c r="G29" s="23"/>
      <c r="H29" s="83"/>
      <c r="I29" s="24"/>
      <c r="J29" s="23"/>
      <c r="K29" s="83"/>
    </row>
    <row r="30" spans="1:23" ht="12.75" customHeight="1" x14ac:dyDescent="0.25">
      <c r="A30" s="45" t="s">
        <v>242</v>
      </c>
      <c r="B30" s="90"/>
      <c r="C30" s="24"/>
      <c r="D30" s="23"/>
      <c r="E30" s="83"/>
      <c r="F30" s="24"/>
      <c r="G30" s="23"/>
      <c r="H30" s="83"/>
      <c r="I30" s="24"/>
      <c r="J30" s="23"/>
      <c r="K30" s="83"/>
    </row>
    <row r="31" spans="1:23" ht="12.75" customHeight="1" x14ac:dyDescent="0.25">
      <c r="A31" s="45" t="s">
        <v>340</v>
      </c>
      <c r="B31" s="90"/>
      <c r="C31" s="24"/>
      <c r="D31" s="23"/>
      <c r="E31" s="83"/>
      <c r="F31" s="24"/>
      <c r="G31" s="23"/>
      <c r="H31" s="83"/>
      <c r="I31" s="24"/>
      <c r="J31" s="23"/>
      <c r="K31" s="83"/>
    </row>
    <row r="32" spans="1:23" ht="12.75" customHeight="1" x14ac:dyDescent="0.25">
      <c r="A32" s="20" t="s">
        <v>343</v>
      </c>
      <c r="B32" s="90"/>
      <c r="C32" s="168"/>
      <c r="D32" s="166"/>
      <c r="E32" s="167"/>
      <c r="F32" s="168"/>
      <c r="G32" s="166"/>
      <c r="H32" s="167"/>
      <c r="I32" s="168"/>
      <c r="J32" s="166"/>
      <c r="K32" s="167"/>
    </row>
    <row r="33" spans="1:23" ht="12.75" customHeight="1" x14ac:dyDescent="0.25">
      <c r="A33" s="20" t="s">
        <v>388</v>
      </c>
      <c r="B33" s="90"/>
      <c r="C33" s="168"/>
      <c r="D33" s="166"/>
      <c r="E33" s="167"/>
      <c r="F33" s="168"/>
      <c r="G33" s="166"/>
      <c r="H33" s="167"/>
      <c r="I33" s="168"/>
      <c r="J33" s="166"/>
      <c r="K33" s="167"/>
    </row>
    <row r="34" spans="1:23" ht="12.75" customHeight="1" x14ac:dyDescent="0.25">
      <c r="A34" s="20" t="s">
        <v>772</v>
      </c>
      <c r="B34" s="90"/>
      <c r="C34" s="168"/>
      <c r="D34" s="166"/>
      <c r="E34" s="167"/>
      <c r="F34" s="168">
        <f>-15675845+14000</f>
        <v>-15661845</v>
      </c>
      <c r="G34" s="166">
        <f>-14876345+14000</f>
        <v>-14862345</v>
      </c>
      <c r="H34" s="167">
        <f>-14876345+14000</f>
        <v>-14862345</v>
      </c>
      <c r="I34" s="168"/>
      <c r="J34" s="166"/>
      <c r="K34" s="167"/>
    </row>
    <row r="35" spans="1:23" ht="12.75" customHeight="1" x14ac:dyDescent="0.25">
      <c r="A35" s="45" t="s">
        <v>341</v>
      </c>
      <c r="B35" s="90"/>
      <c r="C35" s="24"/>
      <c r="D35" s="23"/>
      <c r="E35" s="83"/>
      <c r="F35" s="24"/>
      <c r="G35" s="23"/>
      <c r="H35" s="83"/>
      <c r="I35" s="24"/>
      <c r="J35" s="23"/>
      <c r="K35" s="83"/>
    </row>
    <row r="36" spans="1:23" ht="12.75" customHeight="1" x14ac:dyDescent="0.25">
      <c r="A36" s="20" t="s">
        <v>342</v>
      </c>
      <c r="B36" s="90"/>
      <c r="C36" s="167">
        <v>-48759</v>
      </c>
      <c r="D36" s="166">
        <v>-37917</v>
      </c>
      <c r="E36" s="167">
        <v>-36068</v>
      </c>
      <c r="F36" s="168">
        <v>0</v>
      </c>
      <c r="G36" s="166">
        <v>0</v>
      </c>
      <c r="H36" s="167">
        <v>0</v>
      </c>
      <c r="I36" s="168">
        <v>-2000</v>
      </c>
      <c r="J36" s="166">
        <v>1000</v>
      </c>
      <c r="K36" s="167">
        <v>500</v>
      </c>
    </row>
    <row r="37" spans="1:23" ht="12.75" customHeight="1" x14ac:dyDescent="0.25">
      <c r="A37" s="47" t="s">
        <v>336</v>
      </c>
      <c r="B37" s="107"/>
      <c r="C37" s="39">
        <f>SUM(C31:C34)+C36</f>
        <v>-48759</v>
      </c>
      <c r="D37" s="38">
        <f t="shared" ref="D37:K37" si="6">SUM(D31:D34)+D36</f>
        <v>-37917</v>
      </c>
      <c r="E37" s="84">
        <f t="shared" si="6"/>
        <v>-36068</v>
      </c>
      <c r="F37" s="39">
        <f t="shared" si="6"/>
        <v>-15661845</v>
      </c>
      <c r="G37" s="38">
        <f t="shared" si="6"/>
        <v>-14862345</v>
      </c>
      <c r="H37" s="84">
        <f t="shared" si="6"/>
        <v>-14862345</v>
      </c>
      <c r="I37" s="39">
        <f t="shared" si="6"/>
        <v>-2000</v>
      </c>
      <c r="J37" s="38">
        <f t="shared" si="6"/>
        <v>1000</v>
      </c>
      <c r="K37" s="84">
        <f t="shared" si="6"/>
        <v>500</v>
      </c>
      <c r="L37" s="35"/>
      <c r="M37" s="35"/>
      <c r="N37" s="35"/>
      <c r="O37" s="35"/>
      <c r="P37" s="35"/>
      <c r="Q37" s="35"/>
      <c r="R37" s="35"/>
      <c r="S37" s="35"/>
      <c r="T37" s="35"/>
      <c r="U37" s="35"/>
      <c r="V37" s="35"/>
      <c r="W37" s="35"/>
    </row>
    <row r="38" spans="1:23" ht="5.0999999999999996" customHeight="1" x14ac:dyDescent="0.25">
      <c r="A38" s="21"/>
      <c r="B38" s="90"/>
      <c r="C38" s="24"/>
      <c r="D38" s="23"/>
      <c r="E38" s="83"/>
      <c r="F38" s="24"/>
      <c r="G38" s="23"/>
      <c r="H38" s="83"/>
      <c r="I38" s="24"/>
      <c r="J38" s="23"/>
      <c r="K38" s="83"/>
    </row>
    <row r="39" spans="1:23" ht="12.75" customHeight="1" x14ac:dyDescent="0.25">
      <c r="A39" s="236" t="s">
        <v>344</v>
      </c>
      <c r="B39" s="111">
        <v>1</v>
      </c>
      <c r="C39" s="308">
        <f t="shared" ref="C39:K39" si="7">C18+C28+C37</f>
        <v>3427990</v>
      </c>
      <c r="D39" s="309">
        <f t="shared" si="7"/>
        <v>5079745</v>
      </c>
      <c r="E39" s="310">
        <f t="shared" si="7"/>
        <v>-3376827</v>
      </c>
      <c r="F39" s="308">
        <f t="shared" si="7"/>
        <v>-15359646</v>
      </c>
      <c r="G39" s="309">
        <f t="shared" si="7"/>
        <v>-15359646</v>
      </c>
      <c r="H39" s="310">
        <f t="shared" si="7"/>
        <v>-15359646</v>
      </c>
      <c r="I39" s="308">
        <f t="shared" si="7"/>
        <v>-2000</v>
      </c>
      <c r="J39" s="309">
        <f t="shared" si="7"/>
        <v>1000</v>
      </c>
      <c r="K39" s="310">
        <f t="shared" si="7"/>
        <v>500</v>
      </c>
      <c r="L39" s="35"/>
      <c r="M39" s="35"/>
      <c r="N39" s="35"/>
      <c r="O39" s="35"/>
      <c r="P39" s="35"/>
      <c r="Q39" s="35"/>
      <c r="R39" s="35"/>
      <c r="S39" s="35"/>
      <c r="T39" s="35"/>
      <c r="U39" s="35"/>
      <c r="V39" s="35"/>
      <c r="W39" s="35"/>
    </row>
    <row r="40" spans="1:23" ht="12.75" customHeight="1" x14ac:dyDescent="0.25">
      <c r="A40" s="20" t="s">
        <v>313</v>
      </c>
      <c r="B40" s="90">
        <v>2</v>
      </c>
      <c r="C40" s="172">
        <v>10242738</v>
      </c>
      <c r="D40" s="26">
        <f>C41</f>
        <v>13670728</v>
      </c>
      <c r="E40" s="99">
        <f>D41</f>
        <v>18750473</v>
      </c>
      <c r="F40" s="172">
        <v>15373646</v>
      </c>
      <c r="G40" s="26">
        <f>$E$41</f>
        <v>15373646</v>
      </c>
      <c r="H40" s="99">
        <f>$E$41</f>
        <v>15373646</v>
      </c>
      <c r="I40" s="27">
        <f>H41</f>
        <v>14000</v>
      </c>
      <c r="J40" s="26">
        <f>I41</f>
        <v>12000</v>
      </c>
      <c r="K40" s="99">
        <f>J41</f>
        <v>13000</v>
      </c>
    </row>
    <row r="41" spans="1:23" ht="12.75" customHeight="1" x14ac:dyDescent="0.25">
      <c r="A41" s="215" t="s">
        <v>271</v>
      </c>
      <c r="B41" s="216">
        <v>2</v>
      </c>
      <c r="C41" s="156">
        <f>C39+C40</f>
        <v>13670728</v>
      </c>
      <c r="D41" s="157">
        <f>D39+D40</f>
        <v>18750473</v>
      </c>
      <c r="E41" s="158">
        <f>E39+E40</f>
        <v>15373646</v>
      </c>
      <c r="F41" s="156">
        <f t="shared" ref="F41:K41" si="8">F39+F40</f>
        <v>14000</v>
      </c>
      <c r="G41" s="157">
        <f t="shared" si="8"/>
        <v>14000</v>
      </c>
      <c r="H41" s="158">
        <f t="shared" si="8"/>
        <v>14000</v>
      </c>
      <c r="I41" s="156">
        <f t="shared" si="8"/>
        <v>12000</v>
      </c>
      <c r="J41" s="157">
        <f t="shared" si="8"/>
        <v>13000</v>
      </c>
      <c r="K41" s="158">
        <f t="shared" si="8"/>
        <v>13500</v>
      </c>
    </row>
    <row r="42" spans="1:23" ht="12.75" customHeight="1" x14ac:dyDescent="0.25">
      <c r="A42" s="31" t="s">
        <v>165</v>
      </c>
      <c r="C42" s="34"/>
      <c r="D42" s="34"/>
      <c r="E42" s="35"/>
      <c r="F42" s="35"/>
      <c r="G42" s="35"/>
      <c r="H42" s="35"/>
      <c r="I42" s="35"/>
      <c r="J42" s="35"/>
      <c r="K42" s="35"/>
    </row>
    <row r="43" spans="1:23" ht="12.75" customHeight="1" x14ac:dyDescent="0.25">
      <c r="A43" s="41" t="s">
        <v>542</v>
      </c>
      <c r="C43" s="34"/>
      <c r="D43" s="34"/>
      <c r="E43" s="35"/>
      <c r="F43" s="35"/>
      <c r="G43" s="35"/>
      <c r="H43" s="35"/>
      <c r="I43" s="35"/>
      <c r="J43" s="35"/>
      <c r="K43" s="35"/>
    </row>
    <row r="44" spans="1:23" ht="12.75" customHeight="1" x14ac:dyDescent="0.25">
      <c r="A44" s="41" t="s">
        <v>541</v>
      </c>
      <c r="C44" s="34"/>
      <c r="D44" s="34"/>
      <c r="E44" s="35"/>
      <c r="F44" s="35"/>
      <c r="G44" s="35"/>
      <c r="H44" s="35"/>
      <c r="I44" s="35"/>
      <c r="J44" s="35"/>
      <c r="K44" s="35"/>
    </row>
    <row r="45" spans="1:23" ht="12.75" customHeight="1" x14ac:dyDescent="0.25">
      <c r="C45" s="34"/>
      <c r="D45" s="34"/>
      <c r="E45" s="35"/>
      <c r="F45" s="35"/>
      <c r="G45" s="35"/>
      <c r="H45" s="35"/>
      <c r="I45" s="35"/>
      <c r="J45" s="35"/>
      <c r="K45" s="35"/>
    </row>
    <row r="46" spans="1:23" ht="12.75" customHeight="1" x14ac:dyDescent="0.25">
      <c r="A46" s="37"/>
      <c r="B46" s="37" t="s">
        <v>127</v>
      </c>
      <c r="C46" s="22">
        <f>C41-('D4-FinPos'!C6+'D4-FinPos'!C7)</f>
        <v>3</v>
      </c>
      <c r="D46" s="22">
        <f>D41-('D4-FinPos'!D6+'D4-FinPos'!D7)</f>
        <v>5</v>
      </c>
      <c r="E46" s="22">
        <f>E41-('D4-FinPos'!E6+'D4-FinPos'!E7)</f>
        <v>7</v>
      </c>
      <c r="F46" s="22">
        <f>F41-('D4-FinPos'!F6+'D4-FinPos'!F7)</f>
        <v>0</v>
      </c>
      <c r="G46" s="22">
        <f>G41-('D4-FinPos'!G6+'D4-FinPos'!G7)</f>
        <v>0</v>
      </c>
      <c r="H46" s="22">
        <f>H41-('D4-FinPos'!H6+'D4-FinPos'!H7)</f>
        <v>0</v>
      </c>
      <c r="I46" s="22">
        <f>I41-('D4-FinPos'!I6+'D4-FinPos'!I7)</f>
        <v>0</v>
      </c>
      <c r="J46" s="22">
        <f>J41-('D4-FinPos'!J6+'D4-FinPos'!J7)</f>
        <v>400</v>
      </c>
      <c r="K46" s="22">
        <f>K41-('D4-FinPos'!K6+'D4-FinPos'!K7)</f>
        <v>270</v>
      </c>
    </row>
    <row r="47" spans="1:23" ht="11.25" customHeight="1" x14ac:dyDescent="0.25">
      <c r="A47" s="37"/>
      <c r="B47" s="36"/>
      <c r="C47" s="37"/>
    </row>
    <row r="48" spans="1:23"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sheetData>
  <sheetProtection password="A35B" sheet="1" objects="1" scenarios="1"/>
  <mergeCells count="1">
    <mergeCell ref="F2:H2"/>
  </mergeCells>
  <phoneticPr fontId="2" type="noConversion"/>
  <printOptions horizontalCentered="1"/>
  <pageMargins left="0.35433070866141736" right="0.15748031496062992" top="0.78740157480314965" bottom="0.59055118110236227" header="0.51181102362204722" footer="0.39370078740157483"/>
  <pageSetup paperSize="9" scale="8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1">
    <tabColor rgb="FFCCFFCC"/>
    <pageSetUpPr fitToPage="1"/>
  </sheetPr>
  <dimension ref="A1:K36"/>
  <sheetViews>
    <sheetView showGridLines="0" zoomScaleNormal="100" workbookViewId="0">
      <pane xSplit="2" ySplit="4" topLeftCell="C5" activePane="bottomRight" state="frozen"/>
      <selection activeCell="A23" sqref="A23"/>
      <selection pane="topRight" activeCell="A23" sqref="A23"/>
      <selection pane="bottomLeft" activeCell="A23" sqref="A23"/>
      <selection pane="bottomRight" activeCell="F11" sqref="F11:G11"/>
    </sheetView>
  </sheetViews>
  <sheetFormatPr defaultColWidth="9.140625" defaultRowHeight="12.75" x14ac:dyDescent="0.25"/>
  <cols>
    <col min="1" max="1" width="30.7109375" style="17" customWidth="1"/>
    <col min="2" max="2" width="15.7109375" style="17" customWidth="1"/>
    <col min="3" max="11" width="8.7109375" style="17" customWidth="1"/>
    <col min="12" max="16384" width="9.140625" style="17"/>
  </cols>
  <sheetData>
    <row r="1" spans="1:11" ht="13.5" x14ac:dyDescent="0.25">
      <c r="A1" s="88" t="str">
        <f>_MEB6</f>
        <v>Harry Gwala Development Agency (Pty) Ltd - Supporting Table SD1 Measurable performance targets</v>
      </c>
      <c r="B1" s="32"/>
    </row>
    <row r="2" spans="1:11" ht="25.5" customHeight="1" x14ac:dyDescent="0.25">
      <c r="A2" s="535" t="s">
        <v>391</v>
      </c>
      <c r="B2" s="535" t="s">
        <v>40</v>
      </c>
      <c r="C2" s="85" t="str">
        <f>head1b</f>
        <v>2015/16</v>
      </c>
      <c r="D2" s="18" t="str">
        <f>head1A</f>
        <v>2016/17</v>
      </c>
      <c r="E2" s="80" t="str">
        <f>Head1</f>
        <v>2017/18</v>
      </c>
      <c r="F2" s="519" t="str">
        <f>Head2</f>
        <v>Current Year 2018/19</v>
      </c>
      <c r="G2" s="520"/>
      <c r="H2" s="521"/>
      <c r="I2" s="519" t="str">
        <f>Head3a</f>
        <v>Medium Term Revenue and Expenditure Framework</v>
      </c>
      <c r="J2" s="520"/>
      <c r="K2" s="521"/>
    </row>
    <row r="3" spans="1:11" ht="13.5" customHeight="1" x14ac:dyDescent="0.25">
      <c r="A3" s="536"/>
      <c r="B3" s="536"/>
      <c r="C3" s="531" t="str">
        <f>Head5</f>
        <v>Audited Outcome</v>
      </c>
      <c r="D3" s="533" t="str">
        <f>Head5</f>
        <v>Audited Outcome</v>
      </c>
      <c r="E3" s="527" t="str">
        <f>Head5</f>
        <v>Audited Outcome</v>
      </c>
      <c r="F3" s="529" t="str">
        <f>Head6</f>
        <v>Original Budget</v>
      </c>
      <c r="G3" s="525" t="str">
        <f>Head7</f>
        <v>Adjusted Budget</v>
      </c>
      <c r="H3" s="527" t="str">
        <f>Head8</f>
        <v>Full Year Forecast</v>
      </c>
      <c r="I3" s="529" t="str">
        <f>Head9</f>
        <v>Budget Year 2019/20</v>
      </c>
      <c r="J3" s="525" t="str">
        <f>Head10</f>
        <v>Budget Year +1 2020/21</v>
      </c>
      <c r="K3" s="527" t="str">
        <f>Head11</f>
        <v>Budget Year +2 2021/22</v>
      </c>
    </row>
    <row r="4" spans="1:11" ht="13.5" customHeight="1" x14ac:dyDescent="0.25">
      <c r="A4" s="537"/>
      <c r="B4" s="537"/>
      <c r="C4" s="532"/>
      <c r="D4" s="534"/>
      <c r="E4" s="528"/>
      <c r="F4" s="530"/>
      <c r="G4" s="526"/>
      <c r="H4" s="528"/>
      <c r="I4" s="530"/>
      <c r="J4" s="526"/>
      <c r="K4" s="528"/>
    </row>
    <row r="5" spans="1:11" ht="12.75" customHeight="1" x14ac:dyDescent="0.25">
      <c r="A5" s="340" t="s">
        <v>820</v>
      </c>
      <c r="B5" s="174"/>
      <c r="C5" s="168"/>
      <c r="D5" s="166"/>
      <c r="E5" s="167"/>
      <c r="F5" s="168"/>
      <c r="G5" s="166"/>
      <c r="H5" s="167"/>
      <c r="I5" s="168"/>
      <c r="J5" s="166"/>
      <c r="K5" s="167"/>
    </row>
    <row r="6" spans="1:11" ht="12.75" customHeight="1" x14ac:dyDescent="0.25">
      <c r="A6" s="173" t="s">
        <v>1185</v>
      </c>
      <c r="B6" s="174"/>
      <c r="C6" s="168"/>
      <c r="D6" s="166"/>
      <c r="E6" s="167"/>
      <c r="F6" s="168"/>
      <c r="G6" s="166"/>
      <c r="H6" s="167"/>
      <c r="I6" s="168"/>
      <c r="J6" s="166"/>
      <c r="K6" s="167"/>
    </row>
    <row r="7" spans="1:11" ht="12.75" customHeight="1" x14ac:dyDescent="0.25">
      <c r="A7" s="175" t="s">
        <v>1184</v>
      </c>
      <c r="B7" s="174"/>
      <c r="C7" s="168"/>
      <c r="D7" s="166"/>
      <c r="E7" s="167"/>
      <c r="F7" s="168">
        <v>50000</v>
      </c>
      <c r="G7" s="166">
        <v>20000</v>
      </c>
      <c r="H7" s="167">
        <f>G7</f>
        <v>20000</v>
      </c>
      <c r="I7" s="168">
        <v>50000</v>
      </c>
      <c r="J7" s="166">
        <f>I7*1.05</f>
        <v>52500</v>
      </c>
      <c r="K7" s="166">
        <f>J7*1.05</f>
        <v>55125</v>
      </c>
    </row>
    <row r="8" spans="1:11" ht="12.75" customHeight="1" x14ac:dyDescent="0.25">
      <c r="A8" s="175" t="s">
        <v>1173</v>
      </c>
      <c r="B8" s="176"/>
      <c r="C8" s="168"/>
      <c r="D8" s="166"/>
      <c r="E8" s="167"/>
      <c r="F8" s="168">
        <v>0</v>
      </c>
      <c r="G8" s="168">
        <v>0</v>
      </c>
      <c r="H8" s="167">
        <f t="shared" ref="H8:H11" si="0">G8</f>
        <v>0</v>
      </c>
      <c r="I8" s="168">
        <v>200000</v>
      </c>
      <c r="J8" s="166">
        <f t="shared" ref="J8:K8" si="1">I8*1.05</f>
        <v>210000</v>
      </c>
      <c r="K8" s="166">
        <f t="shared" si="1"/>
        <v>220500</v>
      </c>
    </row>
    <row r="9" spans="1:11" ht="12.75" customHeight="1" x14ac:dyDescent="0.25">
      <c r="A9" s="175" t="s">
        <v>1174</v>
      </c>
      <c r="B9" s="176"/>
      <c r="C9" s="168"/>
      <c r="D9" s="166"/>
      <c r="E9" s="167"/>
      <c r="F9" s="168">
        <v>0</v>
      </c>
      <c r="G9" s="168">
        <v>0</v>
      </c>
      <c r="H9" s="167">
        <f t="shared" si="0"/>
        <v>0</v>
      </c>
      <c r="I9" s="168">
        <v>500000</v>
      </c>
      <c r="J9" s="166">
        <f t="shared" ref="J9:K9" si="2">I9*1.05</f>
        <v>525000</v>
      </c>
      <c r="K9" s="166">
        <f t="shared" si="2"/>
        <v>551250</v>
      </c>
    </row>
    <row r="10" spans="1:11" ht="12.75" customHeight="1" x14ac:dyDescent="0.25">
      <c r="A10" s="175" t="s">
        <v>1175</v>
      </c>
      <c r="B10" s="176"/>
      <c r="C10" s="168"/>
      <c r="D10" s="166"/>
      <c r="E10" s="167"/>
      <c r="F10" s="168">
        <v>1000000</v>
      </c>
      <c r="G10" s="166">
        <v>500000</v>
      </c>
      <c r="H10" s="167">
        <f t="shared" si="0"/>
        <v>500000</v>
      </c>
      <c r="I10" s="168">
        <v>1000000</v>
      </c>
      <c r="J10" s="166">
        <f t="shared" ref="J10:K10" si="3">I10*1.05</f>
        <v>1050000</v>
      </c>
      <c r="K10" s="166">
        <f t="shared" si="3"/>
        <v>1102500</v>
      </c>
    </row>
    <row r="11" spans="1:11" ht="12.75" customHeight="1" x14ac:dyDescent="0.25">
      <c r="A11" s="175" t="s">
        <v>1176</v>
      </c>
      <c r="B11" s="176"/>
      <c r="C11" s="168"/>
      <c r="D11" s="166"/>
      <c r="E11" s="167"/>
      <c r="F11" s="168">
        <v>0</v>
      </c>
      <c r="G11" s="168">
        <v>0</v>
      </c>
      <c r="H11" s="167">
        <f t="shared" si="0"/>
        <v>0</v>
      </c>
      <c r="I11" s="168">
        <v>800000</v>
      </c>
      <c r="J11" s="166">
        <f t="shared" ref="J11:K11" si="4">I11*1.05</f>
        <v>840000</v>
      </c>
      <c r="K11" s="166">
        <f t="shared" si="4"/>
        <v>882000</v>
      </c>
    </row>
    <row r="12" spans="1:11" ht="12.75" customHeight="1" x14ac:dyDescent="0.25">
      <c r="A12" s="175"/>
      <c r="B12" s="176"/>
      <c r="C12" s="168"/>
      <c r="D12" s="166"/>
      <c r="E12" s="167"/>
      <c r="F12" s="168"/>
      <c r="G12" s="166"/>
      <c r="H12" s="167"/>
      <c r="I12" s="168"/>
      <c r="J12" s="166"/>
      <c r="K12" s="167"/>
    </row>
    <row r="13" spans="1:11" ht="12.75" customHeight="1" x14ac:dyDescent="0.25">
      <c r="A13" s="175" t="s">
        <v>1187</v>
      </c>
      <c r="B13" s="176"/>
      <c r="C13" s="168"/>
      <c r="D13" s="166"/>
      <c r="E13" s="167"/>
      <c r="F13" s="168"/>
      <c r="G13" s="166"/>
      <c r="H13" s="167"/>
      <c r="I13" s="168"/>
      <c r="J13" s="166"/>
      <c r="K13" s="167"/>
    </row>
    <row r="14" spans="1:11" ht="12.75" customHeight="1" x14ac:dyDescent="0.25">
      <c r="A14" s="175" t="s">
        <v>1177</v>
      </c>
      <c r="B14" s="176"/>
      <c r="C14" s="168"/>
      <c r="D14" s="166"/>
      <c r="E14" s="167"/>
      <c r="F14" s="168">
        <v>598000</v>
      </c>
      <c r="G14" s="166">
        <v>648000</v>
      </c>
      <c r="H14" s="167">
        <f t="shared" ref="H14:H20" si="5">G14</f>
        <v>648000</v>
      </c>
      <c r="I14" s="168">
        <v>500000</v>
      </c>
      <c r="J14" s="166">
        <f t="shared" ref="J14:K14" si="6">I14*1.05</f>
        <v>525000</v>
      </c>
      <c r="K14" s="166">
        <f t="shared" si="6"/>
        <v>551250</v>
      </c>
    </row>
    <row r="15" spans="1:11" ht="12.75" customHeight="1" x14ac:dyDescent="0.25">
      <c r="A15" s="175" t="s">
        <v>1178</v>
      </c>
      <c r="B15" s="176"/>
      <c r="C15" s="168"/>
      <c r="D15" s="166"/>
      <c r="E15" s="167"/>
      <c r="F15" s="168">
        <v>91000</v>
      </c>
      <c r="G15" s="166">
        <v>92922</v>
      </c>
      <c r="H15" s="167">
        <f t="shared" si="5"/>
        <v>92922</v>
      </c>
      <c r="I15" s="168">
        <v>50000</v>
      </c>
      <c r="J15" s="166">
        <f t="shared" ref="J15:K15" si="7">I15*1.05</f>
        <v>52500</v>
      </c>
      <c r="K15" s="166">
        <f t="shared" si="7"/>
        <v>55125</v>
      </c>
    </row>
    <row r="16" spans="1:11" ht="12.75" customHeight="1" x14ac:dyDescent="0.25">
      <c r="A16" s="175" t="s">
        <v>1179</v>
      </c>
      <c r="B16" s="176"/>
      <c r="C16" s="168"/>
      <c r="D16" s="166"/>
      <c r="E16" s="167"/>
      <c r="F16" s="168">
        <v>385000</v>
      </c>
      <c r="G16" s="166">
        <v>285000</v>
      </c>
      <c r="H16" s="167">
        <f t="shared" si="5"/>
        <v>285000</v>
      </c>
      <c r="I16" s="168">
        <v>900000</v>
      </c>
      <c r="J16" s="166">
        <f t="shared" ref="J16:K16" si="8">I16*1.05</f>
        <v>945000</v>
      </c>
      <c r="K16" s="166">
        <f t="shared" si="8"/>
        <v>992250</v>
      </c>
    </row>
    <row r="17" spans="1:11" ht="12.75" customHeight="1" x14ac:dyDescent="0.25">
      <c r="A17" s="173" t="s">
        <v>1180</v>
      </c>
      <c r="B17" s="176"/>
      <c r="C17" s="168"/>
      <c r="D17" s="166"/>
      <c r="E17" s="167"/>
      <c r="F17" s="168">
        <v>0</v>
      </c>
      <c r="G17" s="168">
        <v>0</v>
      </c>
      <c r="H17" s="167">
        <f t="shared" si="5"/>
        <v>0</v>
      </c>
      <c r="I17" s="168">
        <v>650000</v>
      </c>
      <c r="J17" s="166">
        <f t="shared" ref="J17:K17" si="9">I17*1.05</f>
        <v>682500</v>
      </c>
      <c r="K17" s="166">
        <f t="shared" si="9"/>
        <v>716625</v>
      </c>
    </row>
    <row r="18" spans="1:11" ht="12.75" customHeight="1" x14ac:dyDescent="0.25">
      <c r="A18" s="175" t="s">
        <v>1181</v>
      </c>
      <c r="B18" s="176"/>
      <c r="C18" s="168"/>
      <c r="D18" s="166"/>
      <c r="E18" s="167"/>
      <c r="F18" s="168">
        <v>0</v>
      </c>
      <c r="G18" s="168">
        <v>0</v>
      </c>
      <c r="H18" s="167">
        <f t="shared" si="5"/>
        <v>0</v>
      </c>
      <c r="I18" s="168">
        <v>100000</v>
      </c>
      <c r="J18" s="166">
        <f t="shared" ref="J18:K18" si="10">I18*1.05</f>
        <v>105000</v>
      </c>
      <c r="K18" s="166">
        <f t="shared" si="10"/>
        <v>110250</v>
      </c>
    </row>
    <row r="19" spans="1:11" ht="12.75" customHeight="1" x14ac:dyDescent="0.25">
      <c r="A19" s="175" t="s">
        <v>1182</v>
      </c>
      <c r="B19" s="176"/>
      <c r="C19" s="168"/>
      <c r="D19" s="166"/>
      <c r="E19" s="167"/>
      <c r="F19" s="168">
        <v>0</v>
      </c>
      <c r="G19" s="168">
        <v>0</v>
      </c>
      <c r="H19" s="167">
        <f t="shared" si="5"/>
        <v>0</v>
      </c>
      <c r="I19" s="168">
        <v>300000</v>
      </c>
      <c r="J19" s="166">
        <f t="shared" ref="J19:K19" si="11">I19*1.05</f>
        <v>315000</v>
      </c>
      <c r="K19" s="166">
        <f t="shared" si="11"/>
        <v>330750</v>
      </c>
    </row>
    <row r="20" spans="1:11" ht="12.75" customHeight="1" x14ac:dyDescent="0.25">
      <c r="A20" s="175" t="s">
        <v>1183</v>
      </c>
      <c r="B20" s="176"/>
      <c r="C20" s="168"/>
      <c r="D20" s="166"/>
      <c r="E20" s="167"/>
      <c r="F20" s="168">
        <v>500000</v>
      </c>
      <c r="G20" s="166">
        <v>350000</v>
      </c>
      <c r="H20" s="167">
        <f t="shared" si="5"/>
        <v>350000</v>
      </c>
      <c r="I20" s="168">
        <v>500000</v>
      </c>
      <c r="J20" s="166">
        <f t="shared" ref="J20:K20" si="12">I20*1.05</f>
        <v>525000</v>
      </c>
      <c r="K20" s="166">
        <f t="shared" si="12"/>
        <v>551250</v>
      </c>
    </row>
    <row r="21" spans="1:11" ht="12.75" customHeight="1" x14ac:dyDescent="0.25">
      <c r="A21" s="175"/>
      <c r="B21" s="176"/>
      <c r="C21" s="168"/>
      <c r="D21" s="166"/>
      <c r="E21" s="167"/>
      <c r="F21" s="168"/>
      <c r="G21" s="166"/>
      <c r="H21" s="167"/>
      <c r="I21" s="168"/>
      <c r="J21" s="166"/>
      <c r="K21" s="167"/>
    </row>
    <row r="22" spans="1:11" ht="12.75" customHeight="1" x14ac:dyDescent="0.25">
      <c r="A22" s="175" t="s">
        <v>1186</v>
      </c>
      <c r="B22" s="176"/>
      <c r="C22" s="168"/>
      <c r="D22" s="166"/>
      <c r="E22" s="167"/>
      <c r="F22" s="168"/>
      <c r="G22" s="166"/>
      <c r="H22" s="167"/>
      <c r="I22" s="168"/>
      <c r="J22" s="166"/>
      <c r="K22" s="167"/>
    </row>
    <row r="23" spans="1:11" ht="12.75" customHeight="1" x14ac:dyDescent="0.25">
      <c r="A23" s="175" t="s">
        <v>1188</v>
      </c>
      <c r="B23" s="176"/>
      <c r="C23" s="168"/>
      <c r="D23" s="166"/>
      <c r="E23" s="167"/>
      <c r="F23" s="168">
        <v>0</v>
      </c>
      <c r="G23" s="166">
        <v>0</v>
      </c>
      <c r="H23" s="167">
        <f t="shared" ref="H23:H26" si="13">G23</f>
        <v>0</v>
      </c>
      <c r="I23" s="168">
        <v>300000</v>
      </c>
      <c r="J23" s="166">
        <f t="shared" ref="J23:K23" si="14">I23*1.05</f>
        <v>315000</v>
      </c>
      <c r="K23" s="166">
        <f t="shared" si="14"/>
        <v>330750</v>
      </c>
    </row>
    <row r="24" spans="1:11" ht="12.75" customHeight="1" x14ac:dyDescent="0.25">
      <c r="A24" s="175" t="s">
        <v>1189</v>
      </c>
      <c r="B24" s="176"/>
      <c r="C24" s="168"/>
      <c r="D24" s="166"/>
      <c r="E24" s="167"/>
      <c r="F24" s="168">
        <v>50000</v>
      </c>
      <c r="G24" s="166">
        <v>30000</v>
      </c>
      <c r="H24" s="167">
        <f t="shared" si="13"/>
        <v>30000</v>
      </c>
      <c r="I24" s="168">
        <v>200000</v>
      </c>
      <c r="J24" s="166">
        <f t="shared" ref="J24:K24" si="15">I24*1.05</f>
        <v>210000</v>
      </c>
      <c r="K24" s="166">
        <f t="shared" si="15"/>
        <v>220500</v>
      </c>
    </row>
    <row r="25" spans="1:11" ht="12.75" customHeight="1" x14ac:dyDescent="0.25">
      <c r="A25" s="175" t="s">
        <v>1190</v>
      </c>
      <c r="B25" s="176"/>
      <c r="C25" s="168"/>
      <c r="D25" s="166"/>
      <c r="E25" s="167"/>
      <c r="F25" s="168">
        <v>30000</v>
      </c>
      <c r="G25" s="166">
        <v>22000</v>
      </c>
      <c r="H25" s="167">
        <f t="shared" si="13"/>
        <v>22000</v>
      </c>
      <c r="I25" s="168">
        <v>32500</v>
      </c>
      <c r="J25" s="166">
        <f t="shared" ref="J25:K26" si="16">I25*1.05</f>
        <v>34125</v>
      </c>
      <c r="K25" s="166">
        <f t="shared" si="16"/>
        <v>35831.25</v>
      </c>
    </row>
    <row r="26" spans="1:11" ht="12.75" customHeight="1" x14ac:dyDescent="0.25">
      <c r="A26" s="175" t="s">
        <v>1196</v>
      </c>
      <c r="B26" s="176"/>
      <c r="C26" s="168"/>
      <c r="D26" s="166"/>
      <c r="E26" s="167"/>
      <c r="F26" s="168">
        <v>0</v>
      </c>
      <c r="G26" s="166">
        <v>3000000</v>
      </c>
      <c r="H26" s="167">
        <f t="shared" si="13"/>
        <v>3000000</v>
      </c>
      <c r="I26" s="168">
        <v>400000</v>
      </c>
      <c r="J26" s="166">
        <f t="shared" si="16"/>
        <v>420000</v>
      </c>
      <c r="K26" s="166">
        <f t="shared" si="16"/>
        <v>441000</v>
      </c>
    </row>
    <row r="27" spans="1:11" ht="12.75" customHeight="1" x14ac:dyDescent="0.25">
      <c r="A27" s="175"/>
      <c r="B27" s="176"/>
      <c r="C27" s="168"/>
      <c r="D27" s="166"/>
      <c r="E27" s="167"/>
      <c r="F27" s="168"/>
      <c r="G27" s="166"/>
      <c r="H27" s="167"/>
      <c r="I27" s="168"/>
      <c r="J27" s="166"/>
      <c r="K27" s="167"/>
    </row>
    <row r="28" spans="1:11" ht="12.75" customHeight="1" x14ac:dyDescent="0.25">
      <c r="A28" s="175"/>
      <c r="B28" s="176"/>
      <c r="C28" s="168"/>
      <c r="D28" s="166"/>
      <c r="E28" s="167"/>
      <c r="F28" s="168"/>
      <c r="G28" s="166"/>
      <c r="H28" s="167"/>
      <c r="I28" s="168"/>
      <c r="J28" s="166"/>
      <c r="K28" s="167"/>
    </row>
    <row r="29" spans="1:11" ht="12.75" customHeight="1" x14ac:dyDescent="0.25">
      <c r="A29" s="177"/>
      <c r="B29" s="178"/>
      <c r="C29" s="168"/>
      <c r="D29" s="166"/>
      <c r="E29" s="167"/>
      <c r="F29" s="168"/>
      <c r="G29" s="166"/>
      <c r="H29" s="167"/>
      <c r="I29" s="168"/>
      <c r="J29" s="166"/>
      <c r="K29" s="167"/>
    </row>
    <row r="30" spans="1:11" ht="12.75" customHeight="1" x14ac:dyDescent="0.25">
      <c r="A30" s="175"/>
      <c r="B30" s="176"/>
      <c r="C30" s="168"/>
      <c r="D30" s="166"/>
      <c r="E30" s="167"/>
      <c r="F30" s="168"/>
      <c r="G30" s="166"/>
      <c r="H30" s="167"/>
      <c r="I30" s="168"/>
      <c r="J30" s="166"/>
      <c r="K30" s="167"/>
    </row>
    <row r="31" spans="1:11" ht="12.75" customHeight="1" x14ac:dyDescent="0.25">
      <c r="A31" s="177"/>
      <c r="B31" s="179"/>
      <c r="C31" s="168"/>
      <c r="D31" s="166"/>
      <c r="E31" s="167"/>
      <c r="F31" s="168"/>
      <c r="G31" s="166"/>
      <c r="H31" s="167"/>
      <c r="I31" s="168"/>
      <c r="J31" s="166"/>
      <c r="K31" s="167"/>
    </row>
    <row r="32" spans="1:11" ht="12.75" customHeight="1" x14ac:dyDescent="0.25">
      <c r="A32" s="175"/>
      <c r="B32" s="176"/>
      <c r="C32" s="168"/>
      <c r="D32" s="166"/>
      <c r="E32" s="167"/>
      <c r="F32" s="168"/>
      <c r="G32" s="166"/>
      <c r="H32" s="167"/>
      <c r="I32" s="168"/>
      <c r="J32" s="166"/>
      <c r="K32" s="167"/>
    </row>
    <row r="33" spans="1:11" ht="12.75" customHeight="1" x14ac:dyDescent="0.25">
      <c r="A33" s="180"/>
      <c r="B33" s="181"/>
      <c r="C33" s="182"/>
      <c r="D33" s="183"/>
      <c r="E33" s="184"/>
      <c r="F33" s="182"/>
      <c r="G33" s="183"/>
      <c r="H33" s="184"/>
      <c r="I33" s="182"/>
      <c r="J33" s="183"/>
      <c r="K33" s="184"/>
    </row>
    <row r="34" spans="1:11" ht="12.75" customHeight="1" x14ac:dyDescent="0.25">
      <c r="A34" s="129" t="s">
        <v>280</v>
      </c>
      <c r="B34" s="70"/>
      <c r="C34" s="73"/>
      <c r="D34" s="73"/>
      <c r="E34" s="73"/>
      <c r="F34" s="73"/>
      <c r="G34" s="73"/>
      <c r="H34" s="73"/>
      <c r="I34" s="73"/>
      <c r="J34" s="73"/>
      <c r="K34" s="73"/>
    </row>
    <row r="35" spans="1:11" ht="12.75" customHeight="1" x14ac:dyDescent="0.25">
      <c r="A35" s="41" t="s">
        <v>87</v>
      </c>
      <c r="B35" s="58"/>
    </row>
    <row r="36" spans="1:11" x14ac:dyDescent="0.25">
      <c r="A36" s="91"/>
      <c r="B36" s="91"/>
    </row>
  </sheetData>
  <sheetProtection sheet="1" objects="1" scenarios="1"/>
  <mergeCells count="13">
    <mergeCell ref="C3:C4"/>
    <mergeCell ref="D3:D4"/>
    <mergeCell ref="A2:A4"/>
    <mergeCell ref="B2:B4"/>
    <mergeCell ref="E3:E4"/>
    <mergeCell ref="G3:G4"/>
    <mergeCell ref="H3:H4"/>
    <mergeCell ref="F2:H2"/>
    <mergeCell ref="I2:K2"/>
    <mergeCell ref="I3:I4"/>
    <mergeCell ref="J3:J4"/>
    <mergeCell ref="K3:K4"/>
    <mergeCell ref="F3:F4"/>
  </mergeCells>
  <phoneticPr fontId="2" type="noConversion"/>
  <printOptions horizontalCentered="1"/>
  <pageMargins left="0.36" right="0.17" top="0.79" bottom="0.6" header="0.51181102362204722" footer="0.39"/>
  <pageSetup paperSize="9" scale="8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2">
    <tabColor rgb="FFFF0000"/>
    <pageSetUpPr fitToPage="1"/>
  </sheetPr>
  <dimension ref="A1:L106"/>
  <sheetViews>
    <sheetView showGridLines="0" zoomScaleNormal="100" workbookViewId="0">
      <selection activeCell="A23" sqref="A23"/>
    </sheetView>
  </sheetViews>
  <sheetFormatPr defaultColWidth="9.140625" defaultRowHeight="12.75" customHeight="1" x14ac:dyDescent="0.25"/>
  <cols>
    <col min="1" max="2" width="25.7109375" style="17" customWidth="1"/>
    <col min="3" max="3" width="3.140625" style="17" customWidth="1"/>
    <col min="4" max="12" width="8.7109375" style="17" customWidth="1"/>
    <col min="13" max="16384" width="9.140625" style="17"/>
  </cols>
  <sheetData>
    <row r="1" spans="1:12" ht="13.5" x14ac:dyDescent="0.25">
      <c r="A1" s="88" t="str">
        <f>_MEB7</f>
        <v>Harry Gwala Development Agency (Pty) Ltd - Supporting Table SD2 Financial and non-financial indicators</v>
      </c>
      <c r="B1" s="32"/>
      <c r="C1" s="32"/>
    </row>
    <row r="2" spans="1:12" ht="25.5" x14ac:dyDescent="0.25">
      <c r="A2" s="541" t="s">
        <v>392</v>
      </c>
      <c r="B2" s="535" t="s">
        <v>268</v>
      </c>
      <c r="C2" s="535" t="str">
        <f>head27</f>
        <v>Ref</v>
      </c>
      <c r="D2" s="85" t="str">
        <f>head1b</f>
        <v>2015/16</v>
      </c>
      <c r="E2" s="18" t="str">
        <f>head1A</f>
        <v>2016/17</v>
      </c>
      <c r="F2" s="80" t="str">
        <f>Head1</f>
        <v>2017/18</v>
      </c>
      <c r="G2" s="519" t="str">
        <f>Head2</f>
        <v>Current Year 2018/19</v>
      </c>
      <c r="H2" s="520"/>
      <c r="I2" s="521"/>
      <c r="J2" s="106" t="str">
        <f>Head3a</f>
        <v>Medium Term Revenue and Expenditure Framework</v>
      </c>
      <c r="K2" s="104"/>
      <c r="L2" s="105"/>
    </row>
    <row r="3" spans="1:12" x14ac:dyDescent="0.25">
      <c r="A3" s="542"/>
      <c r="B3" s="536"/>
      <c r="C3" s="536"/>
      <c r="D3" s="531" t="str">
        <f>Head5</f>
        <v>Audited Outcome</v>
      </c>
      <c r="E3" s="533" t="str">
        <f>Head5</f>
        <v>Audited Outcome</v>
      </c>
      <c r="F3" s="527" t="str">
        <f>Head5</f>
        <v>Audited Outcome</v>
      </c>
      <c r="G3" s="529" t="str">
        <f>Head6</f>
        <v>Original Budget</v>
      </c>
      <c r="H3" s="525" t="str">
        <f>Head7</f>
        <v>Adjusted Budget</v>
      </c>
      <c r="I3" s="527" t="str">
        <f>Head8</f>
        <v>Full Year Forecast</v>
      </c>
      <c r="J3" s="529" t="str">
        <f>Head9</f>
        <v>Budget Year 2019/20</v>
      </c>
      <c r="K3" s="525" t="str">
        <f>Head10</f>
        <v>Budget Year +1 2020/21</v>
      </c>
      <c r="L3" s="527" t="str">
        <f>Head11</f>
        <v>Budget Year +2 2021/22</v>
      </c>
    </row>
    <row r="4" spans="1:12" x14ac:dyDescent="0.25">
      <c r="A4" s="121"/>
      <c r="B4" s="111"/>
      <c r="C4" s="111"/>
      <c r="D4" s="532"/>
      <c r="E4" s="534"/>
      <c r="F4" s="528"/>
      <c r="G4" s="530"/>
      <c r="H4" s="526"/>
      <c r="I4" s="528"/>
      <c r="J4" s="530"/>
      <c r="K4" s="526"/>
      <c r="L4" s="528"/>
    </row>
    <row r="5" spans="1:12" ht="12.75" customHeight="1" x14ac:dyDescent="0.25">
      <c r="A5" s="64" t="s">
        <v>67</v>
      </c>
      <c r="B5" s="92"/>
      <c r="C5" s="60"/>
      <c r="D5" s="186"/>
      <c r="E5" s="56"/>
      <c r="F5" s="130"/>
      <c r="G5" s="65"/>
      <c r="H5" s="56"/>
      <c r="I5" s="130"/>
      <c r="J5" s="61"/>
      <c r="K5" s="56"/>
      <c r="L5" s="130"/>
    </row>
    <row r="6" spans="1:12" x14ac:dyDescent="0.25">
      <c r="A6" s="63" t="s">
        <v>996</v>
      </c>
      <c r="B6" s="92"/>
      <c r="C6" s="462"/>
      <c r="D6" s="461"/>
      <c r="E6" s="391"/>
      <c r="F6" s="460"/>
      <c r="G6" s="461"/>
      <c r="H6" s="391"/>
      <c r="I6" s="460"/>
      <c r="J6" s="392"/>
      <c r="K6" s="393"/>
      <c r="L6" s="394"/>
    </row>
    <row r="7" spans="1:12" ht="25.5" x14ac:dyDescent="0.25">
      <c r="A7" s="63" t="s">
        <v>292</v>
      </c>
      <c r="B7" s="92" t="s">
        <v>423</v>
      </c>
      <c r="C7" s="60"/>
      <c r="D7" s="131">
        <f>IF(ISERROR((D48+D49)/D50),0,((D48+D49)/D50))</f>
        <v>2.3592747723224676E-4</v>
      </c>
      <c r="E7" s="74">
        <f t="shared" ref="E7:L7" si="0">IF(ISERROR((E48+E49)/E50),0,((E48+E49)/E50))</f>
        <v>5.0171751535498519E-4</v>
      </c>
      <c r="F7" s="132">
        <f t="shared" si="0"/>
        <v>1.5603970837841483E-4</v>
      </c>
      <c r="G7" s="131">
        <f t="shared" si="0"/>
        <v>5.8793905737298765E-4</v>
      </c>
      <c r="H7" s="74">
        <f t="shared" si="0"/>
        <v>5.1035744925388292E-4</v>
      </c>
      <c r="I7" s="132">
        <f t="shared" si="0"/>
        <v>5.1035744925388292E-4</v>
      </c>
      <c r="J7" s="131">
        <f t="shared" si="0"/>
        <v>7.6430686920798702E-4</v>
      </c>
      <c r="K7" s="74">
        <f t="shared" si="0"/>
        <v>7.1043851253346042E-4</v>
      </c>
      <c r="L7" s="132">
        <f t="shared" si="0"/>
        <v>6.3690584113784698E-4</v>
      </c>
    </row>
    <row r="8" spans="1:12" ht="25.5" x14ac:dyDescent="0.25">
      <c r="A8" s="63" t="s">
        <v>183</v>
      </c>
      <c r="B8" s="92" t="s">
        <v>770</v>
      </c>
      <c r="C8" s="60"/>
      <c r="D8" s="61">
        <f>IF(ISERROR(D51/(D52-D53-D54)),0,(D51/(D52-D53-D54)))</f>
        <v>0</v>
      </c>
      <c r="E8" s="62">
        <f t="shared" ref="E8:L8" si="1">IF(ISERROR(E51/(E52-E53-E54)),0,(E51/(E52-E53-E54)))</f>
        <v>0</v>
      </c>
      <c r="F8" s="115">
        <f t="shared" si="1"/>
        <v>0</v>
      </c>
      <c r="G8" s="61">
        <f t="shared" si="1"/>
        <v>0</v>
      </c>
      <c r="H8" s="62">
        <f t="shared" si="1"/>
        <v>0</v>
      </c>
      <c r="I8" s="115">
        <f t="shared" si="1"/>
        <v>0</v>
      </c>
      <c r="J8" s="61">
        <f t="shared" si="1"/>
        <v>0</v>
      </c>
      <c r="K8" s="62">
        <f t="shared" si="1"/>
        <v>0</v>
      </c>
      <c r="L8" s="115">
        <f t="shared" si="1"/>
        <v>0</v>
      </c>
    </row>
    <row r="9" spans="1:12" ht="12.75" customHeight="1" x14ac:dyDescent="0.25">
      <c r="A9" s="64" t="s">
        <v>236</v>
      </c>
      <c r="B9" s="92"/>
      <c r="C9" s="60"/>
      <c r="D9" s="65"/>
      <c r="E9" s="56"/>
      <c r="F9" s="130"/>
      <c r="G9" s="65"/>
      <c r="H9" s="56"/>
      <c r="I9" s="130"/>
      <c r="J9" s="65"/>
      <c r="K9" s="56"/>
      <c r="L9" s="130"/>
    </row>
    <row r="10" spans="1:12" ht="25.5" x14ac:dyDescent="0.25">
      <c r="A10" s="63" t="s">
        <v>235</v>
      </c>
      <c r="B10" s="92" t="s">
        <v>286</v>
      </c>
      <c r="C10" s="60"/>
      <c r="D10" s="131">
        <f>IF(ISERROR(D57/D56),0,(D57/D56))</f>
        <v>0</v>
      </c>
      <c r="E10" s="74">
        <f t="shared" ref="E10:L10" si="2">IF(ISERROR(E57/E56),0,(E57/E56))</f>
        <v>4.6390639000613463E-4</v>
      </c>
      <c r="F10" s="132">
        <f t="shared" si="2"/>
        <v>0</v>
      </c>
      <c r="G10" s="131">
        <f t="shared" si="2"/>
        <v>0</v>
      </c>
      <c r="H10" s="74">
        <f t="shared" si="2"/>
        <v>0</v>
      </c>
      <c r="I10" s="132">
        <f t="shared" si="2"/>
        <v>0</v>
      </c>
      <c r="J10" s="131">
        <f t="shared" si="2"/>
        <v>0</v>
      </c>
      <c r="K10" s="74">
        <f t="shared" si="2"/>
        <v>0</v>
      </c>
      <c r="L10" s="132">
        <f t="shared" si="2"/>
        <v>0</v>
      </c>
    </row>
    <row r="11" spans="1:12" ht="12.75" customHeight="1" x14ac:dyDescent="0.25">
      <c r="A11" s="64" t="s">
        <v>237</v>
      </c>
      <c r="B11" s="92"/>
      <c r="C11" s="60"/>
      <c r="D11" s="65"/>
      <c r="E11" s="56"/>
      <c r="F11" s="130"/>
      <c r="G11" s="65"/>
      <c r="H11" s="56"/>
      <c r="I11" s="130"/>
      <c r="J11" s="65"/>
      <c r="K11" s="56"/>
      <c r="L11" s="130"/>
    </row>
    <row r="12" spans="1:12" ht="12.75" customHeight="1" x14ac:dyDescent="0.25">
      <c r="A12" s="63" t="s">
        <v>293</v>
      </c>
      <c r="B12" s="92" t="s">
        <v>288</v>
      </c>
      <c r="C12" s="59"/>
      <c r="D12" s="133">
        <f>IF(ISERROR(D58/D59),0,(D58/D59))</f>
        <v>1.8495303151436775</v>
      </c>
      <c r="E12" s="75">
        <f t="shared" ref="E12:L12" si="3">IF(ISERROR(E58/E59),0,(E58/E59))</f>
        <v>2.1314874244609125</v>
      </c>
      <c r="F12" s="134">
        <f t="shared" si="3"/>
        <v>1.3483281573943224</v>
      </c>
      <c r="G12" s="133">
        <f t="shared" si="3"/>
        <v>0</v>
      </c>
      <c r="H12" s="75">
        <f t="shared" si="3"/>
        <v>0</v>
      </c>
      <c r="I12" s="134">
        <f t="shared" si="3"/>
        <v>0</v>
      </c>
      <c r="J12" s="133">
        <f t="shared" si="3"/>
        <v>0</v>
      </c>
      <c r="K12" s="75">
        <f t="shared" si="3"/>
        <v>0</v>
      </c>
      <c r="L12" s="134">
        <f t="shared" si="3"/>
        <v>0</v>
      </c>
    </row>
    <row r="13" spans="1:12" ht="25.5" x14ac:dyDescent="0.25">
      <c r="A13" s="63" t="s">
        <v>160</v>
      </c>
      <c r="B13" s="92" t="s">
        <v>159</v>
      </c>
      <c r="C13" s="60"/>
      <c r="D13" s="133">
        <f>IF(ISERROR((D58-D60)/D59),0,((D58-D60)/D59))</f>
        <v>1.8495303151436775</v>
      </c>
      <c r="E13" s="75">
        <f t="shared" ref="E13:L13" si="4">IF(ISERROR((E58-E60)/E59),0,((E58-E60)/E59))</f>
        <v>2.1314874244609125</v>
      </c>
      <c r="F13" s="134">
        <f t="shared" si="4"/>
        <v>1.3483281573943224</v>
      </c>
      <c r="G13" s="133">
        <f t="shared" si="4"/>
        <v>0</v>
      </c>
      <c r="H13" s="75">
        <f t="shared" si="4"/>
        <v>0</v>
      </c>
      <c r="I13" s="134">
        <f t="shared" si="4"/>
        <v>0</v>
      </c>
      <c r="J13" s="133">
        <f t="shared" si="4"/>
        <v>0</v>
      </c>
      <c r="K13" s="75">
        <f t="shared" si="4"/>
        <v>0</v>
      </c>
      <c r="L13" s="134">
        <f t="shared" si="4"/>
        <v>0</v>
      </c>
    </row>
    <row r="14" spans="1:12" ht="12.75" customHeight="1" x14ac:dyDescent="0.25">
      <c r="A14" s="63" t="s">
        <v>238</v>
      </c>
      <c r="B14" s="92" t="s">
        <v>287</v>
      </c>
      <c r="C14" s="60"/>
      <c r="D14" s="133">
        <f>IF(ISERROR(D61/D59),0,(D61/D59))</f>
        <v>1.5367700223657315</v>
      </c>
      <c r="E14" s="75">
        <f t="shared" ref="E14:L14" si="5">IF(ISERROR(E61/E59),0,(E61/E59))</f>
        <v>2.0611827309956552</v>
      </c>
      <c r="F14" s="134">
        <f t="shared" si="5"/>
        <v>1.2936598575846818</v>
      </c>
      <c r="G14" s="133">
        <f t="shared" si="5"/>
        <v>0</v>
      </c>
      <c r="H14" s="75">
        <f t="shared" si="5"/>
        <v>0</v>
      </c>
      <c r="I14" s="134">
        <f t="shared" si="5"/>
        <v>0</v>
      </c>
      <c r="J14" s="133">
        <f t="shared" si="5"/>
        <v>0</v>
      </c>
      <c r="K14" s="75">
        <f t="shared" si="5"/>
        <v>0</v>
      </c>
      <c r="L14" s="134">
        <f t="shared" si="5"/>
        <v>0</v>
      </c>
    </row>
    <row r="15" spans="1:12" ht="12.75" customHeight="1" x14ac:dyDescent="0.25">
      <c r="A15" s="64" t="s">
        <v>8</v>
      </c>
      <c r="B15" s="92"/>
      <c r="C15" s="60"/>
      <c r="D15" s="65"/>
      <c r="E15" s="56"/>
      <c r="F15" s="130"/>
      <c r="G15" s="65"/>
      <c r="H15" s="56"/>
      <c r="I15" s="130"/>
      <c r="J15" s="65"/>
      <c r="K15" s="56"/>
      <c r="L15" s="130"/>
    </row>
    <row r="16" spans="1:12" ht="25.5" x14ac:dyDescent="0.25">
      <c r="A16" s="63" t="s">
        <v>31</v>
      </c>
      <c r="B16" s="92" t="s">
        <v>289</v>
      </c>
      <c r="C16" s="60"/>
      <c r="D16" s="333"/>
      <c r="E16" s="69">
        <f>IF(ISERROR(E62/E63),0,(E62/E63))</f>
        <v>0</v>
      </c>
      <c r="F16" s="135">
        <f t="shared" ref="F16:L16" si="6">IF(ISERROR(F62/F63),0,(F62/F63))</f>
        <v>0</v>
      </c>
      <c r="G16" s="68">
        <f t="shared" si="6"/>
        <v>0</v>
      </c>
      <c r="H16" s="69">
        <f t="shared" si="6"/>
        <v>0</v>
      </c>
      <c r="I16" s="135">
        <f t="shared" si="6"/>
        <v>0</v>
      </c>
      <c r="J16" s="68">
        <f t="shared" si="6"/>
        <v>0</v>
      </c>
      <c r="K16" s="69">
        <f t="shared" si="6"/>
        <v>0</v>
      </c>
      <c r="L16" s="135">
        <f t="shared" si="6"/>
        <v>0</v>
      </c>
    </row>
    <row r="17" spans="1:12" ht="25.5" customHeight="1" x14ac:dyDescent="0.25">
      <c r="A17" s="63" t="s">
        <v>1045</v>
      </c>
      <c r="B17" s="92"/>
      <c r="C17" s="60"/>
      <c r="D17" s="66">
        <f>IF(ISERROR(('D5-CFlow'!C6+'D5-CFlow'!C7)/SUM('D2-FinPerf'!C5:C10)),0,(('D5-CFlow'!C6+'D5-CFlow'!C7)/SUM('D2-FinPerf'!C5:C10)))</f>
        <v>0</v>
      </c>
      <c r="E17" s="67">
        <f>IF(ISERROR(('D5-CFlow'!D6+'D5-CFlow'!D7)/SUM('D2-FinPerf'!D5:D10)),0,(('D5-CFlow'!D6+'D5-CFlow'!D7)/SUM('D2-FinPerf'!D5:D10)))</f>
        <v>0</v>
      </c>
      <c r="F17" s="136">
        <f>IF(ISERROR(('D5-CFlow'!E6+'D5-CFlow'!E7)/SUM('D2-FinPerf'!E5:E10)),0,(('D5-CFlow'!E6+'D5-CFlow'!E7)/SUM('D2-FinPerf'!E5:E10)))</f>
        <v>0</v>
      </c>
      <c r="G17" s="66">
        <f>IF(ISERROR(('D5-CFlow'!F6+'D5-CFlow'!F7)/SUM('D2-FinPerf'!F5:F10)),0,(('D5-CFlow'!F6+'D5-CFlow'!F7)/SUM('D2-FinPerf'!F5:F10)))</f>
        <v>0</v>
      </c>
      <c r="H17" s="67">
        <f>IF(ISERROR(('D5-CFlow'!G6+'D5-CFlow'!G7)/SUM('D2-FinPerf'!G5:G10)),0,(('D5-CFlow'!G6+'D5-CFlow'!G7)/SUM('D2-FinPerf'!G5:G10)))</f>
        <v>0</v>
      </c>
      <c r="I17" s="136">
        <f>IF(ISERROR(('D5-CFlow'!H6+'D5-CFlow'!H7)/SUM('D2-FinPerf'!H5:H10)),0,(('D5-CFlow'!H6+'D5-CFlow'!H7)/SUM('D2-FinPerf'!H5:H10)))</f>
        <v>0</v>
      </c>
      <c r="J17" s="66">
        <f>IF(ISERROR(('D5-CFlow'!I6+'D5-CFlow'!I7)/SUM('D2-FinPerf'!I5:I10)),0,(('D5-CFlow'!I6+'D5-CFlow'!I7)/SUM('D2-FinPerf'!I5:I10)))</f>
        <v>0</v>
      </c>
      <c r="K17" s="67">
        <f>IF(ISERROR(('D5-CFlow'!J6+'D5-CFlow'!J7)/SUM('D2-FinPerf'!J5:J10)),0,(('D5-CFlow'!J6+'D5-CFlow'!J7)/SUM('D2-FinPerf'!J5:J10)))</f>
        <v>0</v>
      </c>
      <c r="L17" s="136">
        <f>IF(ISERROR(('D5-CFlow'!K6+'D5-CFlow'!K7)/SUM('D2-FinPerf'!K5:K10)),0,(('D5-CFlow'!K6+'D5-CFlow'!K7)/SUM('D2-FinPerf'!K5:K10)))</f>
        <v>0</v>
      </c>
    </row>
    <row r="18" spans="1:12" ht="25.5" x14ac:dyDescent="0.25">
      <c r="A18" s="63" t="s">
        <v>32</v>
      </c>
      <c r="B18" s="92" t="s">
        <v>158</v>
      </c>
      <c r="C18" s="60"/>
      <c r="D18" s="131">
        <f>IF(ISERROR(D64/D65),0,(D64/D65))</f>
        <v>9.3054341796016585E-2</v>
      </c>
      <c r="E18" s="74">
        <f t="shared" ref="E18:L18" si="7">IF(ISERROR(E64/E65),0,(E64/E65))</f>
        <v>3.5653145696425637E-2</v>
      </c>
      <c r="F18" s="132">
        <f t="shared" si="7"/>
        <v>7.4058752356553195E-2</v>
      </c>
      <c r="G18" s="131">
        <f t="shared" si="7"/>
        <v>0</v>
      </c>
      <c r="H18" s="74">
        <f t="shared" si="7"/>
        <v>0</v>
      </c>
      <c r="I18" s="132">
        <f t="shared" si="7"/>
        <v>0</v>
      </c>
      <c r="J18" s="131">
        <f t="shared" si="7"/>
        <v>0</v>
      </c>
      <c r="K18" s="74">
        <f t="shared" si="7"/>
        <v>0</v>
      </c>
      <c r="L18" s="132">
        <f t="shared" si="7"/>
        <v>0</v>
      </c>
    </row>
    <row r="19" spans="1:12" ht="25.5" x14ac:dyDescent="0.25">
      <c r="A19" s="63" t="s">
        <v>417</v>
      </c>
      <c r="B19" s="92" t="s">
        <v>290</v>
      </c>
      <c r="C19" s="60"/>
      <c r="D19" s="187"/>
      <c r="E19" s="188"/>
      <c r="F19" s="189"/>
      <c r="G19" s="187"/>
      <c r="H19" s="188"/>
      <c r="I19" s="189"/>
      <c r="J19" s="187"/>
      <c r="K19" s="188"/>
      <c r="L19" s="189"/>
    </row>
    <row r="20" spans="1:12" ht="12.75" customHeight="1" x14ac:dyDescent="0.25">
      <c r="A20" s="64" t="s">
        <v>418</v>
      </c>
      <c r="B20" s="92"/>
      <c r="C20" s="60"/>
      <c r="D20" s="65"/>
      <c r="E20" s="56"/>
      <c r="F20" s="130"/>
      <c r="G20" s="65"/>
      <c r="H20" s="56"/>
      <c r="I20" s="130"/>
      <c r="J20" s="65"/>
      <c r="K20" s="56"/>
      <c r="L20" s="130"/>
    </row>
    <row r="21" spans="1:12" ht="25.5" x14ac:dyDescent="0.25">
      <c r="A21" s="63" t="s">
        <v>419</v>
      </c>
      <c r="B21" s="92" t="s">
        <v>284</v>
      </c>
      <c r="C21" s="60"/>
      <c r="D21" s="187"/>
      <c r="E21" s="188"/>
      <c r="F21" s="189"/>
      <c r="G21" s="187"/>
      <c r="H21" s="188"/>
      <c r="I21" s="189"/>
      <c r="J21" s="187"/>
      <c r="K21" s="188"/>
      <c r="L21" s="189"/>
    </row>
    <row r="22" spans="1:12" x14ac:dyDescent="0.25">
      <c r="A22" s="63" t="s">
        <v>1046</v>
      </c>
      <c r="B22" s="92"/>
      <c r="C22" s="60"/>
      <c r="D22" s="66">
        <f>IF(ISERROR(D75/'D5-CFlow'!C41), 0, (D75/'D5-CFlow'!C41))</f>
        <v>0</v>
      </c>
      <c r="E22" s="67">
        <f>IF(ISERROR(E75/'D5-CFlow'!D41), 0, (E75/'D5-CFlow'!D41))</f>
        <v>0</v>
      </c>
      <c r="F22" s="464">
        <f>IF(ISERROR(F75/'D5-CFlow'!E41), 0, (F75/'D5-CFlow'!E41))</f>
        <v>0</v>
      </c>
      <c r="G22" s="463">
        <f>IF(ISERROR(G75/'D5-CFlow'!F41), 0, (G75/'D5-CFlow'!F41))</f>
        <v>0</v>
      </c>
      <c r="H22" s="67">
        <f>IF(ISERROR(H75/'D5-CFlow'!G41), 0, (H75/'D5-CFlow'!G41))</f>
        <v>0</v>
      </c>
      <c r="I22" s="464">
        <f>IF(ISERROR(I75/'D5-CFlow'!H41), 0, (I75/'D5-CFlow'!H41))</f>
        <v>0</v>
      </c>
      <c r="J22" s="66">
        <f>IF(ISERROR(J75/'D5-CFlow'!I41), 0, (J75/'D5-CFlow'!I41))</f>
        <v>0</v>
      </c>
      <c r="K22" s="67">
        <f>IF(ISERROR(K75/'D5-CFlow'!J41), 0, (K75/'D5-CFlow'!J41))</f>
        <v>0</v>
      </c>
      <c r="L22" s="464">
        <f>IF(ISERROR(L75/'D5-CFlow'!K41), 0, (L75/'D5-CFlow'!K41))</f>
        <v>0</v>
      </c>
    </row>
    <row r="23" spans="1:12" x14ac:dyDescent="0.25">
      <c r="A23" s="63"/>
      <c r="B23" s="92"/>
      <c r="C23" s="60"/>
      <c r="D23" s="465"/>
      <c r="E23" s="466"/>
      <c r="F23" s="467"/>
      <c r="G23" s="465"/>
      <c r="H23" s="466"/>
      <c r="I23" s="467"/>
      <c r="J23" s="465"/>
      <c r="K23" s="466"/>
      <c r="L23" s="467"/>
    </row>
    <row r="24" spans="1:12" ht="12.75" customHeight="1" x14ac:dyDescent="0.25">
      <c r="A24" s="64" t="s">
        <v>63</v>
      </c>
      <c r="B24" s="92"/>
      <c r="C24" s="60"/>
      <c r="D24" s="65"/>
      <c r="E24" s="56"/>
      <c r="F24" s="130"/>
      <c r="G24" s="65"/>
      <c r="H24" s="56"/>
      <c r="I24" s="130"/>
      <c r="J24" s="65"/>
      <c r="K24" s="56"/>
      <c r="L24" s="130"/>
    </row>
    <row r="25" spans="1:12" x14ac:dyDescent="0.25">
      <c r="A25" s="63" t="s">
        <v>64</v>
      </c>
      <c r="B25" s="92" t="s">
        <v>65</v>
      </c>
      <c r="C25" s="60"/>
      <c r="D25" s="187"/>
      <c r="E25" s="188"/>
      <c r="F25" s="189"/>
      <c r="G25" s="187"/>
      <c r="H25" s="188"/>
      <c r="I25" s="189"/>
      <c r="J25" s="187"/>
      <c r="K25" s="188"/>
      <c r="L25" s="189"/>
    </row>
    <row r="26" spans="1:12" ht="12.75" customHeight="1" x14ac:dyDescent="0.25">
      <c r="A26" s="64" t="s">
        <v>66</v>
      </c>
      <c r="B26" s="92"/>
      <c r="C26" s="60"/>
      <c r="D26" s="65"/>
      <c r="E26" s="56"/>
      <c r="F26" s="130"/>
      <c r="G26" s="65"/>
      <c r="H26" s="56"/>
      <c r="I26" s="130"/>
      <c r="J26" s="65"/>
      <c r="K26" s="56"/>
      <c r="L26" s="130"/>
    </row>
    <row r="27" spans="1:12" x14ac:dyDescent="0.25">
      <c r="A27" s="538" t="s">
        <v>1047</v>
      </c>
      <c r="B27" s="468" t="s">
        <v>1048</v>
      </c>
      <c r="C27" s="59">
        <v>1</v>
      </c>
      <c r="D27" s="187"/>
      <c r="E27" s="188"/>
      <c r="F27" s="189"/>
      <c r="G27" s="187"/>
      <c r="H27" s="188"/>
      <c r="I27" s="189"/>
      <c r="J27" s="187"/>
      <c r="K27" s="188"/>
      <c r="L27" s="189"/>
    </row>
    <row r="28" spans="1:12" x14ac:dyDescent="0.25">
      <c r="A28" s="538"/>
      <c r="B28" s="468" t="s">
        <v>1049</v>
      </c>
      <c r="C28" s="59"/>
      <c r="D28" s="187"/>
      <c r="E28" s="188"/>
      <c r="F28" s="189"/>
      <c r="G28" s="187"/>
      <c r="H28" s="188"/>
      <c r="I28" s="189"/>
      <c r="J28" s="187"/>
      <c r="K28" s="188"/>
      <c r="L28" s="189"/>
    </row>
    <row r="29" spans="1:12" ht="38.25" x14ac:dyDescent="0.25">
      <c r="A29" s="539"/>
      <c r="B29" s="469" t="s">
        <v>1050</v>
      </c>
      <c r="C29" s="59"/>
      <c r="D29" s="187"/>
      <c r="E29" s="188"/>
      <c r="F29" s="189"/>
      <c r="G29" s="187"/>
      <c r="H29" s="188"/>
      <c r="I29" s="189"/>
      <c r="J29" s="187"/>
      <c r="K29" s="188"/>
      <c r="L29" s="189"/>
    </row>
    <row r="30" spans="1:12" x14ac:dyDescent="0.25">
      <c r="A30" s="540" t="s">
        <v>1051</v>
      </c>
      <c r="B30" s="470" t="s">
        <v>1052</v>
      </c>
      <c r="C30" s="59"/>
      <c r="D30" s="187"/>
      <c r="E30" s="188"/>
      <c r="F30" s="189"/>
      <c r="G30" s="187"/>
      <c r="H30" s="188"/>
      <c r="I30" s="189"/>
      <c r="J30" s="187"/>
      <c r="K30" s="188"/>
      <c r="L30" s="189"/>
    </row>
    <row r="31" spans="1:12" x14ac:dyDescent="0.25">
      <c r="A31" s="538"/>
      <c r="B31" s="468" t="s">
        <v>1049</v>
      </c>
      <c r="C31" s="59"/>
      <c r="D31" s="187"/>
      <c r="E31" s="188"/>
      <c r="F31" s="189"/>
      <c r="G31" s="187"/>
      <c r="H31" s="188"/>
      <c r="I31" s="189"/>
      <c r="J31" s="187"/>
      <c r="K31" s="188"/>
      <c r="L31" s="189"/>
    </row>
    <row r="32" spans="1:12" ht="38.25" x14ac:dyDescent="0.25">
      <c r="A32" s="539"/>
      <c r="B32" s="469" t="s">
        <v>1050</v>
      </c>
      <c r="C32" s="59"/>
      <c r="D32" s="187"/>
      <c r="E32" s="188"/>
      <c r="F32" s="189"/>
      <c r="G32" s="187"/>
      <c r="H32" s="188"/>
      <c r="I32" s="189"/>
      <c r="J32" s="187"/>
      <c r="K32" s="188"/>
      <c r="L32" s="189"/>
    </row>
    <row r="33" spans="1:12" ht="25.5" x14ac:dyDescent="0.25">
      <c r="A33" s="63" t="s">
        <v>35</v>
      </c>
      <c r="B33" s="92" t="s">
        <v>257</v>
      </c>
      <c r="C33" s="60"/>
      <c r="D33" s="66">
        <f>IF(ISERROR(D66/D65),0,(D66/D65))</f>
        <v>0.2154154174777427</v>
      </c>
      <c r="E33" s="67">
        <f t="shared" ref="E33:L33" si="8">IF(ISERROR(E66/E65),0,(E66/E65))</f>
        <v>0.50042297687304615</v>
      </c>
      <c r="F33" s="136">
        <f t="shared" si="8"/>
        <v>1.0008774163718577</v>
      </c>
      <c r="G33" s="68">
        <f t="shared" si="8"/>
        <v>0.35470906418422343</v>
      </c>
      <c r="H33" s="74">
        <f t="shared" si="8"/>
        <v>0.36995741423305928</v>
      </c>
      <c r="I33" s="132">
        <f t="shared" si="8"/>
        <v>0.36995741423305928</v>
      </c>
      <c r="J33" s="68">
        <f t="shared" si="8"/>
        <v>0.48606732269672942</v>
      </c>
      <c r="K33" s="69">
        <f t="shared" si="8"/>
        <v>0.4518092923665919</v>
      </c>
      <c r="L33" s="135">
        <f t="shared" si="8"/>
        <v>0.40504557722028994</v>
      </c>
    </row>
    <row r="34" spans="1:12" ht="25.5" x14ac:dyDescent="0.25">
      <c r="A34" s="63" t="s">
        <v>190</v>
      </c>
      <c r="B34" s="468" t="s">
        <v>1053</v>
      </c>
      <c r="C34" s="60"/>
      <c r="D34" s="66">
        <f>IF(ISERROR('SD4'!C56/'D2-FinPerf'!C21),0,('SD4'!C56/'D2-FinPerf'!C21))</f>
        <v>0.29042598553326093</v>
      </c>
      <c r="E34" s="67">
        <f>IF(ISERROR('SD4'!D56/'D2-FinPerf'!D21),0,('SD4'!D56/'D2-FinPerf'!D21))</f>
        <v>0.43007324036185524</v>
      </c>
      <c r="F34" s="464">
        <f>IF(ISERROR('SD4'!E56/'D2-FinPerf'!E21),0,('SD4'!E56/'D2-FinPerf'!E21))</f>
        <v>1.0327395887029536</v>
      </c>
      <c r="G34" s="463">
        <f>IF(ISERROR('SD4'!F56/'D2-FinPerf'!F21),0,('SD4'!F56/'D2-FinPerf'!F21))</f>
        <v>0.37757366323697533</v>
      </c>
      <c r="H34" s="67">
        <f>IF(ISERROR('SD4'!G56/'D2-FinPerf'!G21),0,('SD4'!G56/'D2-FinPerf'!G21))</f>
        <v>0.39263953558264808</v>
      </c>
      <c r="I34" s="464">
        <f>IF(ISERROR('SD4'!H56/'D2-FinPerf'!H21),0,('SD4'!H56/'D2-FinPerf'!H21))</f>
        <v>0.39263953558264808</v>
      </c>
      <c r="J34" s="66">
        <f>IF(ISERROR('SD4'!I56/'D2-FinPerf'!I21),0,('SD4'!I56/'D2-FinPerf'!I21))</f>
        <v>0.51154421833699559</v>
      </c>
      <c r="K34" s="67">
        <f>IF(ISERROR('SD4'!J56/'D2-FinPerf'!J21),0,('SD4'!J56/'D2-FinPerf'!J21))</f>
        <v>0.47549057611770723</v>
      </c>
      <c r="L34" s="464">
        <f>IF(ISERROR('SD4'!K56/'D2-FinPerf'!K21),0,('SD4'!K56/'D2-FinPerf'!K21))</f>
        <v>0.42627577192488481</v>
      </c>
    </row>
    <row r="35" spans="1:12" ht="25.5" customHeight="1" x14ac:dyDescent="0.25">
      <c r="A35" s="63" t="s">
        <v>256</v>
      </c>
      <c r="B35" s="92" t="s">
        <v>258</v>
      </c>
      <c r="C35" s="60"/>
      <c r="D35" s="66">
        <f>IF(ISERROR(D67/D65),0,(D67/D65))</f>
        <v>0</v>
      </c>
      <c r="E35" s="67">
        <f t="shared" ref="E35:L35" si="9">IF(ISERROR(E67/E65),0,(E67/E65))</f>
        <v>0</v>
      </c>
      <c r="F35" s="136">
        <f t="shared" si="9"/>
        <v>0</v>
      </c>
      <c r="G35" s="68">
        <f t="shared" si="9"/>
        <v>0</v>
      </c>
      <c r="H35" s="74">
        <f t="shared" si="9"/>
        <v>0</v>
      </c>
      <c r="I35" s="132">
        <f t="shared" si="9"/>
        <v>0</v>
      </c>
      <c r="J35" s="68">
        <f t="shared" si="9"/>
        <v>0</v>
      </c>
      <c r="K35" s="69">
        <f t="shared" si="9"/>
        <v>0</v>
      </c>
      <c r="L35" s="135">
        <f t="shared" si="9"/>
        <v>0</v>
      </c>
    </row>
    <row r="36" spans="1:12" ht="23.25" customHeight="1" x14ac:dyDescent="0.25">
      <c r="A36" s="63" t="s">
        <v>994</v>
      </c>
      <c r="B36" s="92" t="s">
        <v>995</v>
      </c>
      <c r="C36" s="60"/>
      <c r="D36" s="66">
        <f>IF(ISERROR((D48+D49)/D65),0,((D48+D49)/D65))</f>
        <v>2.2044166127324307E-4</v>
      </c>
      <c r="E36" s="67">
        <f t="shared" ref="E36:L36" si="10">IF(ISERROR((E48+E49)/E65),0,((E48+E49)/E65))</f>
        <v>5.0171886094432523E-4</v>
      </c>
      <c r="F36" s="136">
        <f t="shared" si="10"/>
        <v>2.791727549278152E-4</v>
      </c>
      <c r="G36" s="68">
        <f t="shared" si="10"/>
        <v>5.879470847623714E-4</v>
      </c>
      <c r="H36" s="74">
        <f t="shared" si="10"/>
        <v>5.1034873830450812E-4</v>
      </c>
      <c r="I36" s="132">
        <f t="shared" si="10"/>
        <v>5.1034873830450812E-4</v>
      </c>
      <c r="J36" s="68">
        <f t="shared" si="10"/>
        <v>7.6430686920798702E-4</v>
      </c>
      <c r="K36" s="69">
        <f t="shared" si="10"/>
        <v>7.1043851253346042E-4</v>
      </c>
      <c r="L36" s="135">
        <f t="shared" si="10"/>
        <v>6.3690584113784698E-4</v>
      </c>
    </row>
    <row r="37" spans="1:12" ht="25.5" customHeight="1" x14ac:dyDescent="0.25">
      <c r="A37" s="64" t="s">
        <v>295</v>
      </c>
      <c r="B37" s="93"/>
      <c r="C37" s="64"/>
      <c r="D37" s="66"/>
      <c r="E37" s="67"/>
      <c r="F37" s="136"/>
      <c r="G37" s="68"/>
      <c r="H37" s="74"/>
      <c r="I37" s="132"/>
      <c r="J37" s="68"/>
      <c r="K37" s="69"/>
      <c r="L37" s="135"/>
    </row>
    <row r="38" spans="1:12" ht="38.25" x14ac:dyDescent="0.25">
      <c r="A38" s="63" t="s">
        <v>170</v>
      </c>
      <c r="B38" s="92" t="s">
        <v>279</v>
      </c>
      <c r="C38" s="60"/>
      <c r="D38" s="71">
        <f>IF(ISERROR(D68/D69),0,(D68/D69))</f>
        <v>7.3957402574423847</v>
      </c>
      <c r="E38" s="72">
        <f t="shared" ref="E38:L38" si="11">IF(ISERROR(E68/E69),0,(E68/E69))</f>
        <v>15.707350001298128</v>
      </c>
      <c r="F38" s="137">
        <f t="shared" si="11"/>
        <v>85.816222222222223</v>
      </c>
      <c r="G38" s="71">
        <f t="shared" si="11"/>
        <v>34.166666666666664</v>
      </c>
      <c r="H38" s="72">
        <f t="shared" si="11"/>
        <v>70.555555555555557</v>
      </c>
      <c r="I38" s="137">
        <f t="shared" si="11"/>
        <v>45.357142857142854</v>
      </c>
      <c r="J38" s="71">
        <f t="shared" si="11"/>
        <v>60.387931034482762</v>
      </c>
      <c r="K38" s="72">
        <f t="shared" si="11"/>
        <v>57.778868813825611</v>
      </c>
      <c r="L38" s="137">
        <f t="shared" si="11"/>
        <v>0</v>
      </c>
    </row>
    <row r="39" spans="1:12" ht="25.5" x14ac:dyDescent="0.25">
      <c r="A39" s="63" t="s">
        <v>285</v>
      </c>
      <c r="B39" s="92" t="s">
        <v>49</v>
      </c>
      <c r="C39" s="60"/>
      <c r="D39" s="68">
        <f>IF(ISERROR(D70/D71),0,(D70/D71))</f>
        <v>0</v>
      </c>
      <c r="E39" s="67">
        <f t="shared" ref="E39:L39" si="12">IF(ISERROR(E70/E71),0,(E70/E71))</f>
        <v>0</v>
      </c>
      <c r="F39" s="136">
        <f t="shared" si="12"/>
        <v>0</v>
      </c>
      <c r="G39" s="68">
        <f t="shared" si="12"/>
        <v>0</v>
      </c>
      <c r="H39" s="74">
        <f t="shared" si="12"/>
        <v>0</v>
      </c>
      <c r="I39" s="132">
        <f t="shared" si="12"/>
        <v>0</v>
      </c>
      <c r="J39" s="68">
        <f t="shared" si="12"/>
        <v>0</v>
      </c>
      <c r="K39" s="69">
        <f t="shared" si="12"/>
        <v>0</v>
      </c>
      <c r="L39" s="135">
        <f t="shared" si="12"/>
        <v>0</v>
      </c>
    </row>
    <row r="40" spans="1:12" ht="25.5" x14ac:dyDescent="0.25">
      <c r="A40" s="116" t="s">
        <v>171</v>
      </c>
      <c r="B40" s="96" t="s">
        <v>18</v>
      </c>
      <c r="C40" s="76"/>
      <c r="D40" s="160">
        <f>IF(ISERROR(D72/D73),0,(D72/D73))</f>
        <v>0.8155817683674218</v>
      </c>
      <c r="E40" s="77">
        <f t="shared" ref="E40:L40" si="13">IF(ISERROR(E72/E73),0,(E72/E73))</f>
        <v>1.7421181882783625</v>
      </c>
      <c r="F40" s="138">
        <f t="shared" si="13"/>
        <v>1.632569855910593</v>
      </c>
      <c r="G40" s="139">
        <f t="shared" si="13"/>
        <v>1.5242864450410792E-3</v>
      </c>
      <c r="H40" s="77">
        <f t="shared" si="13"/>
        <v>1.3231489425100669E-3</v>
      </c>
      <c r="I40" s="138">
        <f t="shared" si="13"/>
        <v>1.3231489425100669E-3</v>
      </c>
      <c r="J40" s="139">
        <f t="shared" si="13"/>
        <v>1.2738447820133116E-3</v>
      </c>
      <c r="K40" s="77">
        <f t="shared" si="13"/>
        <v>1.1840641875557672E-3</v>
      </c>
      <c r="L40" s="138">
        <f t="shared" si="13"/>
        <v>1.0615097352297449E-3</v>
      </c>
    </row>
    <row r="41" spans="1:12" ht="12.75" customHeight="1" x14ac:dyDescent="0.25">
      <c r="A41" s="31" t="s">
        <v>165</v>
      </c>
    </row>
    <row r="42" spans="1:12" ht="12.75" customHeight="1" x14ac:dyDescent="0.25">
      <c r="A42" s="41" t="s">
        <v>294</v>
      </c>
    </row>
    <row r="43" spans="1:12" ht="12.75" customHeight="1" x14ac:dyDescent="0.25">
      <c r="A43" s="41" t="s">
        <v>296</v>
      </c>
    </row>
    <row r="45" spans="1:12" ht="12.75" customHeight="1" x14ac:dyDescent="0.25">
      <c r="A45" s="58" t="s">
        <v>422</v>
      </c>
      <c r="D45" s="44"/>
      <c r="E45" s="44"/>
      <c r="F45" s="44"/>
      <c r="G45" s="44"/>
      <c r="H45" s="44"/>
      <c r="I45" s="44"/>
      <c r="J45" s="44"/>
      <c r="K45" s="44"/>
      <c r="L45" s="44"/>
    </row>
    <row r="46" spans="1:12" ht="12.75" customHeight="1" x14ac:dyDescent="0.25">
      <c r="A46" s="17" t="str">
        <f>'D4-FinPos'!A37</f>
        <v>Borrowing</v>
      </c>
      <c r="D46" s="73">
        <f>'D4-FinPos'!C37</f>
        <v>0</v>
      </c>
      <c r="E46" s="73">
        <f>'D4-FinPos'!D37</f>
        <v>7125</v>
      </c>
      <c r="F46" s="73">
        <f>'D4-FinPos'!E37</f>
        <v>0</v>
      </c>
      <c r="G46" s="73">
        <f>'D4-FinPos'!F37</f>
        <v>0</v>
      </c>
      <c r="H46" s="73">
        <f>'D4-FinPos'!G37</f>
        <v>0</v>
      </c>
      <c r="I46" s="73">
        <f>'D4-FinPos'!H37</f>
        <v>0</v>
      </c>
      <c r="J46" s="73">
        <f>'D4-FinPos'!I37</f>
        <v>0</v>
      </c>
      <c r="K46" s="73">
        <f>'D4-FinPos'!J37</f>
        <v>0</v>
      </c>
      <c r="L46" s="73">
        <f>'D4-FinPos'!K37</f>
        <v>0</v>
      </c>
    </row>
    <row r="47" spans="1:12" ht="12.75" customHeight="1" x14ac:dyDescent="0.25">
      <c r="A47" s="17" t="str">
        <f>'D4-FinPos'!A25</f>
        <v>TOTAL ASSETS</v>
      </c>
      <c r="D47" s="73">
        <f>'D4-FinPos'!C25</f>
        <v>21192882</v>
      </c>
      <c r="E47" s="73">
        <f>'D4-FinPos'!D25</f>
        <v>24462773</v>
      </c>
      <c r="F47" s="73">
        <f>'D4-FinPos'!E25</f>
        <v>20392462</v>
      </c>
      <c r="G47" s="73">
        <f>'D4-FinPos'!F25</f>
        <v>511301</v>
      </c>
      <c r="H47" s="73">
        <f>'D4-FinPos'!G25</f>
        <v>511301</v>
      </c>
      <c r="I47" s="73">
        <f>'D4-FinPos'!H25</f>
        <v>511301</v>
      </c>
      <c r="J47" s="73">
        <f>'D4-FinPos'!I25</f>
        <v>237000</v>
      </c>
      <c r="K47" s="73">
        <f>'D4-FinPos'!J25</f>
        <v>248850</v>
      </c>
      <c r="L47" s="73">
        <f>'D4-FinPos'!K25</f>
        <v>261292.5</v>
      </c>
    </row>
    <row r="48" spans="1:12" ht="12.75" customHeight="1" x14ac:dyDescent="0.25">
      <c r="A48" s="17" t="str">
        <f>'D2-FinPerf'!A28</f>
        <v>Finance charges</v>
      </c>
      <c r="D48" s="73">
        <f>'D2-FinPerf'!C28</f>
        <v>6591</v>
      </c>
      <c r="E48" s="73">
        <f>'D2-FinPerf'!D28</f>
        <v>9000</v>
      </c>
      <c r="F48" s="73">
        <f>'D2-FinPerf'!E28</f>
        <v>2449</v>
      </c>
      <c r="G48" s="73">
        <f>'D2-FinPerf'!F28</f>
        <v>9000</v>
      </c>
      <c r="H48" s="73">
        <f>'D2-FinPerf'!G28</f>
        <v>9000</v>
      </c>
      <c r="I48" s="73">
        <f>'D2-FinPerf'!H28</f>
        <v>9000</v>
      </c>
      <c r="J48" s="73">
        <f>'D2-FinPerf'!I28</f>
        <v>12000</v>
      </c>
      <c r="K48" s="73">
        <f>'D2-FinPerf'!J28</f>
        <v>12600</v>
      </c>
      <c r="L48" s="73">
        <f>'D2-FinPerf'!K28</f>
        <v>13230</v>
      </c>
    </row>
    <row r="49" spans="1:12" ht="12.75" customHeight="1" x14ac:dyDescent="0.25">
      <c r="A49" s="17" t="str">
        <f>'D2-FinPerf'!A27</f>
        <v>Depreciation &amp; asset impairment</v>
      </c>
      <c r="D49" s="73">
        <f>'D2-FinPerf'!C26</f>
        <v>0</v>
      </c>
      <c r="E49" s="73">
        <f>'D2-FinPerf'!D26</f>
        <v>0</v>
      </c>
      <c r="F49" s="73">
        <f>'D2-FinPerf'!E26</f>
        <v>0</v>
      </c>
      <c r="G49" s="73">
        <f>'D2-FinPerf'!F26</f>
        <v>0</v>
      </c>
      <c r="H49" s="73">
        <f>'D2-FinPerf'!G26</f>
        <v>0</v>
      </c>
      <c r="I49" s="73">
        <f>'D2-FinPerf'!H26</f>
        <v>0</v>
      </c>
      <c r="J49" s="73">
        <f>'D2-FinPerf'!I26</f>
        <v>0</v>
      </c>
      <c r="K49" s="73">
        <f>'D2-FinPerf'!J26</f>
        <v>0</v>
      </c>
      <c r="L49" s="73">
        <f>'D2-FinPerf'!K26</f>
        <v>0</v>
      </c>
    </row>
    <row r="50" spans="1:12" ht="12.75" customHeight="1" x14ac:dyDescent="0.25">
      <c r="A50" s="17" t="str">
        <f>'D2-FinPerf'!A35</f>
        <v>Total Expenditure</v>
      </c>
      <c r="D50" s="73">
        <f>'D2-FinPerf'!C35</f>
        <v>27936551</v>
      </c>
      <c r="E50" s="73">
        <f>'D2-FinPerf'!D35</f>
        <v>17938381.109999999</v>
      </c>
      <c r="F50" s="73">
        <f>'D2-FinPerf'!E35</f>
        <v>15694723</v>
      </c>
      <c r="G50" s="73">
        <f>'D2-FinPerf'!F35</f>
        <v>15307709</v>
      </c>
      <c r="H50" s="73">
        <f>'D2-FinPerf'!G35</f>
        <v>17634699</v>
      </c>
      <c r="I50" s="73">
        <f>'D2-FinPerf'!H35</f>
        <v>17634699</v>
      </c>
      <c r="J50" s="73">
        <f>'D2-FinPerf'!I35</f>
        <v>15700500</v>
      </c>
      <c r="K50" s="73">
        <f>'D2-FinPerf'!J35</f>
        <v>17735525</v>
      </c>
      <c r="L50" s="73">
        <f>'D2-FinPerf'!K35</f>
        <v>20772301.25</v>
      </c>
    </row>
    <row r="51" spans="1:12" ht="12.75" customHeight="1" x14ac:dyDescent="0.25">
      <c r="A51" s="17" t="str">
        <f>'D5-CFlow'!A33</f>
        <v>Borrowing long term/refinancing</v>
      </c>
      <c r="D51" s="73">
        <f>'D5-CFlow'!C33</f>
        <v>0</v>
      </c>
      <c r="E51" s="73">
        <f>'D5-CFlow'!D33</f>
        <v>0</v>
      </c>
      <c r="F51" s="73">
        <f>'D5-CFlow'!E33</f>
        <v>0</v>
      </c>
      <c r="G51" s="73">
        <f>'D5-CFlow'!F33</f>
        <v>0</v>
      </c>
      <c r="H51" s="73">
        <f>'D5-CFlow'!G33</f>
        <v>0</v>
      </c>
      <c r="I51" s="73">
        <f>'D5-CFlow'!H33</f>
        <v>0</v>
      </c>
      <c r="J51" s="73">
        <f>'D5-CFlow'!I33</f>
        <v>0</v>
      </c>
      <c r="K51" s="73">
        <f>'D5-CFlow'!J33</f>
        <v>0</v>
      </c>
      <c r="L51" s="73">
        <f>'D5-CFlow'!K33</f>
        <v>0</v>
      </c>
    </row>
    <row r="52" spans="1:12" ht="12.75" customHeight="1" x14ac:dyDescent="0.25">
      <c r="A52" s="17" t="s">
        <v>839</v>
      </c>
      <c r="D52" s="73">
        <f>'D3-Capex'!C167</f>
        <v>4739919</v>
      </c>
      <c r="E52" s="73">
        <f>'D3-Capex'!D167</f>
        <v>5072747</v>
      </c>
      <c r="F52" s="73">
        <f>'D3-Capex'!E167</f>
        <v>4369154</v>
      </c>
      <c r="G52" s="73">
        <f>'D3-Capex'!F167</f>
        <v>497301</v>
      </c>
      <c r="H52" s="73">
        <f>'D3-Capex'!G167</f>
        <v>497301</v>
      </c>
      <c r="I52" s="73">
        <f>'D3-Capex'!H167</f>
        <v>497301</v>
      </c>
      <c r="J52" s="73">
        <f>'D3-Capex'!I167</f>
        <v>0</v>
      </c>
      <c r="K52" s="73">
        <f>'D3-Capex'!J167</f>
        <v>0</v>
      </c>
      <c r="L52" s="73">
        <f>'D3-Capex'!K167</f>
        <v>0</v>
      </c>
    </row>
    <row r="53" spans="1:12" ht="12.75" customHeight="1" x14ac:dyDescent="0.25">
      <c r="A53" s="17" t="s">
        <v>394</v>
      </c>
      <c r="D53" s="73">
        <f>'D3-Capex'!C174</f>
        <v>667861</v>
      </c>
      <c r="E53" s="73">
        <f>'D3-Capex'!D174</f>
        <v>1511000</v>
      </c>
      <c r="F53" s="73">
        <f>'D3-Capex'!E174</f>
        <v>441000</v>
      </c>
      <c r="G53" s="73">
        <f>'D3-Capex'!F174</f>
        <v>497301</v>
      </c>
      <c r="H53" s="73">
        <f>'D3-Capex'!G174</f>
        <v>497301</v>
      </c>
      <c r="I53" s="73">
        <f>'D3-Capex'!H174</f>
        <v>497301</v>
      </c>
      <c r="J53" s="73">
        <f>'D3-Capex'!I174</f>
        <v>0</v>
      </c>
      <c r="K53" s="73">
        <f>'D3-Capex'!J174</f>
        <v>0</v>
      </c>
      <c r="L53" s="73">
        <f>'D3-Capex'!K174</f>
        <v>0</v>
      </c>
    </row>
    <row r="54" spans="1:12" ht="12.75" customHeight="1" x14ac:dyDescent="0.25">
      <c r="A54" s="17" t="s">
        <v>37</v>
      </c>
      <c r="D54" s="73">
        <f>'D3-Capex'!C175</f>
        <v>0</v>
      </c>
      <c r="E54" s="73">
        <f>'D3-Capex'!D175</f>
        <v>0</v>
      </c>
      <c r="F54" s="73">
        <f>'D3-Capex'!E175</f>
        <v>0</v>
      </c>
      <c r="G54" s="73">
        <f>'D3-Capex'!F175</f>
        <v>0</v>
      </c>
      <c r="H54" s="73">
        <f>'D3-Capex'!G175</f>
        <v>0</v>
      </c>
      <c r="I54" s="73">
        <f>'D3-Capex'!H175</f>
        <v>0</v>
      </c>
      <c r="J54" s="73">
        <f>'D3-Capex'!I175</f>
        <v>0</v>
      </c>
      <c r="K54" s="73">
        <f>'D3-Capex'!J175</f>
        <v>0</v>
      </c>
      <c r="L54" s="73">
        <f>'D3-Capex'!K175</f>
        <v>0</v>
      </c>
    </row>
    <row r="55" spans="1:12" ht="12.75" customHeight="1" x14ac:dyDescent="0.25">
      <c r="A55" s="17" t="s">
        <v>424</v>
      </c>
      <c r="D55" s="73">
        <f>'D4-FinPos'!C37+'D4-FinPos'!C32+'D4-FinPos'!C29+'D4-FinPos'!C30</f>
        <v>8895752</v>
      </c>
      <c r="E55" s="73">
        <f>'D4-FinPos'!D37+'D4-FinPos'!D32+'D4-FinPos'!D29+'D4-FinPos'!D30</f>
        <v>9104071</v>
      </c>
      <c r="F55" s="73">
        <f>'D4-FinPos'!E37+'D4-FinPos'!E32+'D4-FinPos'!E29+'D4-FinPos'!E30</f>
        <v>11883834</v>
      </c>
      <c r="G55" s="73">
        <f>'D4-FinPos'!F37+'D4-FinPos'!F32+'D4-FinPos'!F29+'D4-FinPos'!F30</f>
        <v>0</v>
      </c>
      <c r="H55" s="73">
        <f>'D4-FinPos'!G37+'D4-FinPos'!G32+'D4-FinPos'!G29+'D4-FinPos'!G30</f>
        <v>0</v>
      </c>
      <c r="I55" s="73">
        <f>'D4-FinPos'!H37+'D4-FinPos'!H32+'D4-FinPos'!H29+'D4-FinPos'!H30</f>
        <v>0</v>
      </c>
      <c r="J55" s="73">
        <f>'D4-FinPos'!I37+'D4-FinPos'!I32+'D4-FinPos'!I29+'D4-FinPos'!I30</f>
        <v>0</v>
      </c>
      <c r="K55" s="73">
        <f>'D4-FinPos'!J37+'D4-FinPos'!J32+'D4-FinPos'!J29+'D4-FinPos'!J30</f>
        <v>0</v>
      </c>
      <c r="L55" s="73">
        <f>'D4-FinPos'!K37+'D4-FinPos'!K32+'D4-FinPos'!K29+'D4-FinPos'!K30</f>
        <v>0</v>
      </c>
    </row>
    <row r="56" spans="1:12" ht="12.75" customHeight="1" x14ac:dyDescent="0.25">
      <c r="A56" s="17" t="str">
        <f>'D4-FinPos'!A48</f>
        <v>TOTAL COMMUNITY WEALTH/EQUITY</v>
      </c>
      <c r="D56" s="73">
        <f>'D4-FinPos'!C48</f>
        <v>12296773</v>
      </c>
      <c r="E56" s="73">
        <f>'D4-FinPos'!D48</f>
        <v>15358702</v>
      </c>
      <c r="F56" s="73">
        <f>'D4-FinPos'!E48</f>
        <v>8508628</v>
      </c>
      <c r="G56" s="73">
        <f>'D4-FinPos'!F48</f>
        <v>511000</v>
      </c>
      <c r="H56" s="73">
        <f>'D4-FinPos'!G48</f>
        <v>511000</v>
      </c>
      <c r="I56" s="73">
        <f>'D4-FinPos'!H48</f>
        <v>511000</v>
      </c>
      <c r="J56" s="73">
        <f>'D4-FinPos'!I48</f>
        <v>237000</v>
      </c>
      <c r="K56" s="73">
        <f>'D4-FinPos'!J48</f>
        <v>248850</v>
      </c>
      <c r="L56" s="73">
        <f>'D4-FinPos'!K48</f>
        <v>261292.5</v>
      </c>
    </row>
    <row r="57" spans="1:12" ht="12.75" customHeight="1" x14ac:dyDescent="0.25">
      <c r="A57" s="17" t="str">
        <f>'D4-FinPos'!A37</f>
        <v>Borrowing</v>
      </c>
      <c r="D57" s="73">
        <f>'D4-FinPos'!C37</f>
        <v>0</v>
      </c>
      <c r="E57" s="73">
        <f>'D4-FinPos'!D37</f>
        <v>7125</v>
      </c>
      <c r="F57" s="73">
        <f>'D4-FinPos'!E37</f>
        <v>0</v>
      </c>
      <c r="G57" s="73">
        <f>'D4-FinPos'!F37</f>
        <v>0</v>
      </c>
      <c r="H57" s="73">
        <f>'D4-FinPos'!G37</f>
        <v>0</v>
      </c>
      <c r="I57" s="73">
        <f>'D4-FinPos'!H37</f>
        <v>0</v>
      </c>
      <c r="J57" s="73">
        <f>'D4-FinPos'!I37</f>
        <v>0</v>
      </c>
      <c r="K57" s="73">
        <f>'D4-FinPos'!J37</f>
        <v>0</v>
      </c>
      <c r="L57" s="73">
        <f>'D4-FinPos'!K37</f>
        <v>0</v>
      </c>
    </row>
    <row r="58" spans="1:12" ht="12.75" customHeight="1" x14ac:dyDescent="0.25">
      <c r="A58" s="17" t="str">
        <f>'D4-FinPos'!A12</f>
        <v>Total current assets</v>
      </c>
      <c r="D58" s="73">
        <f>'D4-FinPos'!C12</f>
        <v>16452963</v>
      </c>
      <c r="E58" s="73">
        <f>'D4-FinPos'!D12</f>
        <v>19390026</v>
      </c>
      <c r="F58" s="73">
        <f>'D4-FinPos'!E12</f>
        <v>16023308</v>
      </c>
      <c r="G58" s="73">
        <f>'D4-FinPos'!F12</f>
        <v>14000</v>
      </c>
      <c r="H58" s="73">
        <f>'D4-FinPos'!G12</f>
        <v>14000</v>
      </c>
      <c r="I58" s="73">
        <f>'D4-FinPos'!H12</f>
        <v>14000</v>
      </c>
      <c r="J58" s="73">
        <f>'D4-FinPos'!I12</f>
        <v>12000</v>
      </c>
      <c r="K58" s="73">
        <f>'D4-FinPos'!J12</f>
        <v>12600</v>
      </c>
      <c r="L58" s="73">
        <f>'D4-FinPos'!K12</f>
        <v>13230</v>
      </c>
    </row>
    <row r="59" spans="1:12" ht="12.75" customHeight="1" x14ac:dyDescent="0.25">
      <c r="A59" s="17" t="str">
        <f>'D4-FinPos'!A34</f>
        <v>Total current liabilities</v>
      </c>
      <c r="D59" s="73">
        <f>'D4-FinPos'!C34</f>
        <v>8895752</v>
      </c>
      <c r="E59" s="73">
        <f>'D4-FinPos'!D34</f>
        <v>9096946</v>
      </c>
      <c r="F59" s="73">
        <f>'D4-FinPos'!E34</f>
        <v>11883834</v>
      </c>
      <c r="G59" s="73">
        <f>'D4-FinPos'!F34</f>
        <v>0</v>
      </c>
      <c r="H59" s="73">
        <f>'D4-FinPos'!G34</f>
        <v>0</v>
      </c>
      <c r="I59" s="73">
        <f>'D4-FinPos'!H34</f>
        <v>0</v>
      </c>
      <c r="J59" s="73">
        <f>'D4-FinPos'!I34</f>
        <v>0</v>
      </c>
      <c r="K59" s="73">
        <f>'D4-FinPos'!J34</f>
        <v>0</v>
      </c>
      <c r="L59" s="73">
        <f>'D4-FinPos'!K34</f>
        <v>0</v>
      </c>
    </row>
    <row r="60" spans="1:12" ht="12.75" customHeight="1" x14ac:dyDescent="0.25">
      <c r="A60" s="17" t="s">
        <v>425</v>
      </c>
      <c r="D60" s="185"/>
      <c r="E60" s="185"/>
      <c r="F60" s="185"/>
      <c r="G60" s="185"/>
      <c r="H60" s="185"/>
      <c r="I60" s="185"/>
      <c r="J60" s="185"/>
      <c r="K60" s="185"/>
      <c r="L60" s="185"/>
    </row>
    <row r="61" spans="1:12" ht="12.75" customHeight="1" x14ac:dyDescent="0.25">
      <c r="A61" s="17" t="s">
        <v>426</v>
      </c>
      <c r="D61" s="73">
        <f>'D4-FinPos'!C6+'D4-FinPos'!C7-'D4-FinPos'!C29</f>
        <v>13670725</v>
      </c>
      <c r="E61" s="73">
        <f>'D4-FinPos'!D6+'D4-FinPos'!D7-'D4-FinPos'!D29</f>
        <v>18750468</v>
      </c>
      <c r="F61" s="73">
        <f>'D4-FinPos'!E6+'D4-FinPos'!E7-'D4-FinPos'!E29</f>
        <v>15373639</v>
      </c>
      <c r="G61" s="73">
        <f>'D4-FinPos'!F6+'D4-FinPos'!F7-'D4-FinPos'!F29</f>
        <v>14000</v>
      </c>
      <c r="H61" s="73">
        <f>'D4-FinPos'!G6+'D4-FinPos'!G7-'D4-FinPos'!G29</f>
        <v>14000</v>
      </c>
      <c r="I61" s="73">
        <f>'D4-FinPos'!H6+'D4-FinPos'!H7-'D4-FinPos'!H29</f>
        <v>14000</v>
      </c>
      <c r="J61" s="73">
        <f>'D4-FinPos'!I6+'D4-FinPos'!I7-'D4-FinPos'!I29</f>
        <v>12000</v>
      </c>
      <c r="K61" s="73">
        <f>'D4-FinPos'!J6+'D4-FinPos'!J7-'D4-FinPos'!J29</f>
        <v>12600</v>
      </c>
      <c r="L61" s="73">
        <f>'D4-FinPos'!K6+'D4-FinPos'!K7-'D4-FinPos'!K29</f>
        <v>13230</v>
      </c>
    </row>
    <row r="62" spans="1:12" ht="12.75" customHeight="1" x14ac:dyDescent="0.25">
      <c r="A62" s="17" t="s">
        <v>427</v>
      </c>
      <c r="D62" s="73"/>
      <c r="E62" s="73">
        <f>'D5-CFlow'!C6</f>
        <v>0</v>
      </c>
      <c r="F62" s="73">
        <f>'D5-CFlow'!D6</f>
        <v>0</v>
      </c>
      <c r="G62" s="73">
        <f>'D5-CFlow'!E6</f>
        <v>0</v>
      </c>
      <c r="H62" s="73">
        <f>'D5-CFlow'!F6</f>
        <v>0</v>
      </c>
      <c r="I62" s="73">
        <f>'D5-CFlow'!G6</f>
        <v>0</v>
      </c>
      <c r="J62" s="73">
        <f>'D5-CFlow'!H6</f>
        <v>0</v>
      </c>
      <c r="K62" s="73">
        <f>'D5-CFlow'!I6</f>
        <v>0</v>
      </c>
      <c r="L62" s="73">
        <f>'D5-CFlow'!J6</f>
        <v>0</v>
      </c>
    </row>
    <row r="63" spans="1:12" ht="12.75" customHeight="1" x14ac:dyDescent="0.25">
      <c r="A63" s="17" t="s">
        <v>428</v>
      </c>
      <c r="D63" s="73"/>
      <c r="E63" s="73">
        <f>SUM('D2-FinPerf'!C5:C11)+SUM('D2-FinPerf'!C15:C17)+'D2-FinPerf'!C19</f>
        <v>41027</v>
      </c>
      <c r="F63" s="73">
        <f>SUM('D2-FinPerf'!D5:D11)+SUM('D2-FinPerf'!D15:D17)+'D2-FinPerf'!D19</f>
        <v>5000</v>
      </c>
      <c r="G63" s="73">
        <f>SUM('D2-FinPerf'!E5:E11)+SUM('D2-FinPerf'!E15:E17)+'D2-FinPerf'!E19</f>
        <v>41389</v>
      </c>
      <c r="H63" s="73">
        <f>SUM('D2-FinPerf'!F5:F11)+SUM('D2-FinPerf'!F15:F17)+'D2-FinPerf'!F19</f>
        <v>7500</v>
      </c>
      <c r="I63" s="73">
        <f>SUM('D2-FinPerf'!G5:G11)+SUM('D2-FinPerf'!G15:G17)+'D2-FinPerf'!G19</f>
        <v>15000</v>
      </c>
      <c r="J63" s="73">
        <f>SUM('D2-FinPerf'!H5:H11)+SUM('D2-FinPerf'!H15:H17)+'D2-FinPerf'!H19</f>
        <v>15000</v>
      </c>
      <c r="K63" s="73">
        <f>SUM('D2-FinPerf'!I5:I11)+SUM('D2-FinPerf'!I15:I17)+'D2-FinPerf'!I19</f>
        <v>17500</v>
      </c>
      <c r="L63" s="73">
        <f>SUM('D2-FinPerf'!J5:J11)+SUM('D2-FinPerf'!J15:J17)+'D2-FinPerf'!J19</f>
        <v>18375</v>
      </c>
    </row>
    <row r="64" spans="1:12" ht="12.75" customHeight="1" x14ac:dyDescent="0.25">
      <c r="A64" s="17" t="s">
        <v>429</v>
      </c>
      <c r="D64" s="73">
        <f>'D4-FinPos'!C8+'D4-FinPos'!C9+'D4-FinPos'!C10+'D4-FinPos'!C15</f>
        <v>2782238</v>
      </c>
      <c r="E64" s="73">
        <f>'D4-FinPos'!D8+'D4-FinPos'!D9+'D4-FinPos'!D10+'D4-FinPos'!D15</f>
        <v>639558</v>
      </c>
      <c r="F64" s="73">
        <f>'D4-FinPos'!E8+'D4-FinPos'!E9+'D4-FinPos'!E10+'D4-FinPos'!E15</f>
        <v>649669</v>
      </c>
      <c r="G64" s="73">
        <f>'D4-FinPos'!F8+'D4-FinPos'!F9+'D4-FinPos'!F10+'D4-FinPos'!F15</f>
        <v>0</v>
      </c>
      <c r="H64" s="73">
        <f>'D4-FinPos'!G8+'D4-FinPos'!G9+'D4-FinPos'!G10+'D4-FinPos'!G15</f>
        <v>0</v>
      </c>
      <c r="I64" s="73">
        <f>'D4-FinPos'!H8+'D4-FinPos'!H9+'D4-FinPos'!H10+'D4-FinPos'!H15</f>
        <v>0</v>
      </c>
      <c r="J64" s="73">
        <f>'D4-FinPos'!I8+'D4-FinPos'!I9+'D4-FinPos'!I10+'D4-FinPos'!I15</f>
        <v>0</v>
      </c>
      <c r="K64" s="73">
        <f>'D4-FinPos'!J8+'D4-FinPos'!J9+'D4-FinPos'!J10+'D4-FinPos'!J15</f>
        <v>0</v>
      </c>
      <c r="L64" s="73">
        <f>'D4-FinPos'!K8+'D4-FinPos'!K9+'D4-FinPos'!K10+'D4-FinPos'!K15</f>
        <v>0</v>
      </c>
    </row>
    <row r="65" spans="1:12" ht="12.75" customHeight="1" x14ac:dyDescent="0.25">
      <c r="A65" s="17" t="str">
        <f>'D2-FinPerf'!A21</f>
        <v>Total Revenue (excluding capital transfers and contributions)</v>
      </c>
      <c r="D65" s="73">
        <f>'D2-FinPerf'!C21</f>
        <v>29899067</v>
      </c>
      <c r="E65" s="73">
        <f>'D2-FinPerf'!D21</f>
        <v>17938333</v>
      </c>
      <c r="F65" s="73">
        <f>'D2-FinPerf'!E21</f>
        <v>8772346</v>
      </c>
      <c r="G65" s="73">
        <f>'D2-FinPerf'!F21</f>
        <v>15307500</v>
      </c>
      <c r="H65" s="73">
        <f>'D2-FinPerf'!G21</f>
        <v>17635000</v>
      </c>
      <c r="I65" s="73">
        <f>'D2-FinPerf'!H21</f>
        <v>17635000</v>
      </c>
      <c r="J65" s="73">
        <f>'D2-FinPerf'!I21</f>
        <v>15700500</v>
      </c>
      <c r="K65" s="73">
        <f>'D2-FinPerf'!J21</f>
        <v>17735525</v>
      </c>
      <c r="L65" s="73">
        <f>'D2-FinPerf'!K21</f>
        <v>20772301.25</v>
      </c>
    </row>
    <row r="66" spans="1:12" ht="12.75" customHeight="1" x14ac:dyDescent="0.25">
      <c r="A66" s="17" t="str">
        <f>'D2-FinPerf'!A24</f>
        <v>Employee related costs</v>
      </c>
      <c r="D66" s="73">
        <f>'D2-FinPerf'!C24</f>
        <v>6440720</v>
      </c>
      <c r="E66" s="73">
        <f>'D2-FinPerf'!D24</f>
        <v>8976754</v>
      </c>
      <c r="F66" s="73">
        <f>'D2-FinPerf'!E24</f>
        <v>8780043</v>
      </c>
      <c r="G66" s="73">
        <f>'D2-FinPerf'!F24</f>
        <v>5429709</v>
      </c>
      <c r="H66" s="73">
        <f>'D2-FinPerf'!G24</f>
        <v>6524199</v>
      </c>
      <c r="I66" s="73">
        <f>'D2-FinPerf'!H24</f>
        <v>6524199</v>
      </c>
      <c r="J66" s="73">
        <f>'D2-FinPerf'!I24</f>
        <v>7631500</v>
      </c>
      <c r="K66" s="73">
        <f>'D2-FinPerf'!J24</f>
        <v>8013075</v>
      </c>
      <c r="L66" s="73">
        <f>'D2-FinPerf'!K24</f>
        <v>8413728.75</v>
      </c>
    </row>
    <row r="67" spans="1:12" ht="12.75" customHeight="1" x14ac:dyDescent="0.25">
      <c r="A67" s="17" t="s">
        <v>430</v>
      </c>
      <c r="D67" s="73">
        <f>'D2-FinPerf'!C48</f>
        <v>0</v>
      </c>
      <c r="E67" s="73">
        <f>'D2-FinPerf'!D48</f>
        <v>0</v>
      </c>
      <c r="F67" s="73">
        <f>'D2-FinPerf'!E48</f>
        <v>0</v>
      </c>
      <c r="G67" s="73">
        <f>'D2-FinPerf'!F48</f>
        <v>0</v>
      </c>
      <c r="H67" s="73">
        <f>'D2-FinPerf'!G48</f>
        <v>0</v>
      </c>
      <c r="I67" s="73">
        <f>'D2-FinPerf'!H48</f>
        <v>0</v>
      </c>
      <c r="J67" s="73">
        <f>'D2-FinPerf'!I48</f>
        <v>0</v>
      </c>
      <c r="K67" s="73">
        <f>'D2-FinPerf'!J48</f>
        <v>0</v>
      </c>
      <c r="L67" s="73">
        <f>'D2-FinPerf'!K48</f>
        <v>0</v>
      </c>
    </row>
    <row r="68" spans="1:12" ht="12.75" customHeight="1" x14ac:dyDescent="0.25">
      <c r="A68" s="17" t="s">
        <v>431</v>
      </c>
      <c r="D68" s="73">
        <f>D65-'D2-FinPerf'!C18</f>
        <v>334391</v>
      </c>
      <c r="E68" s="73">
        <f>E65-'D2-FinPerf'!D18</f>
        <v>605000</v>
      </c>
      <c r="F68" s="73">
        <f>F65-'D2-FinPerf'!E18</f>
        <v>772346</v>
      </c>
      <c r="G68" s="73">
        <f>G65-'D2-FinPerf'!F18</f>
        <v>307500</v>
      </c>
      <c r="H68" s="73">
        <f>H65-'D2-FinPerf'!G18</f>
        <v>635000</v>
      </c>
      <c r="I68" s="73">
        <f>I65-'D2-FinPerf'!H18</f>
        <v>635000</v>
      </c>
      <c r="J68" s="73">
        <f>J65-'D2-FinPerf'!I18</f>
        <v>700500</v>
      </c>
      <c r="K68" s="73">
        <f>K65-'D2-FinPerf'!J18</f>
        <v>735525</v>
      </c>
      <c r="L68" s="73">
        <f>L65-'D2-FinPerf'!K18</f>
        <v>772301.25</v>
      </c>
    </row>
    <row r="69" spans="1:12" ht="12.75" customHeight="1" x14ac:dyDescent="0.25">
      <c r="A69" s="17" t="s">
        <v>432</v>
      </c>
      <c r="D69" s="185">
        <f>-('D5-CFlow'!D15+'D5-CFlow'!D36)</f>
        <v>45214</v>
      </c>
      <c r="E69" s="185">
        <f>-('D5-CFlow'!E15+'D5-CFlow'!E36)</f>
        <v>38517</v>
      </c>
      <c r="F69" s="185">
        <f>-('D5-CFlow'!F15+'D5-CFlow'!F36)</f>
        <v>9000</v>
      </c>
      <c r="G69" s="185">
        <f>-('D5-CFlow'!G15+'D5-CFlow'!G36)</f>
        <v>9000</v>
      </c>
      <c r="H69" s="185">
        <f>-('D5-CFlow'!H15+'D5-CFlow'!H36)</f>
        <v>9000</v>
      </c>
      <c r="I69" s="185">
        <f>-('D5-CFlow'!I15+'D5-CFlow'!I36)</f>
        <v>14000</v>
      </c>
      <c r="J69" s="185">
        <f>-('D5-CFlow'!J15+'D5-CFlow'!J36)</f>
        <v>11600</v>
      </c>
      <c r="K69" s="185">
        <f>-('D5-CFlow'!K15+'D5-CFlow'!K36)</f>
        <v>12730</v>
      </c>
      <c r="L69" s="185">
        <f>-('D5-CFlow'!L15+'D5-CFlow'!L36)</f>
        <v>0</v>
      </c>
    </row>
    <row r="70" spans="1:12" ht="12.75" customHeight="1" x14ac:dyDescent="0.25">
      <c r="A70" s="17" t="s">
        <v>433</v>
      </c>
      <c r="D70" s="73">
        <f>'D4-FinPos'!C8+'D4-FinPos'!C10+'D4-FinPos'!C15</f>
        <v>0</v>
      </c>
      <c r="E70" s="73">
        <f>'D4-FinPos'!D8+'D4-FinPos'!D10+'D4-FinPos'!D15</f>
        <v>0</v>
      </c>
      <c r="F70" s="73">
        <f>'D4-FinPos'!E8+'D4-FinPos'!E10+'D4-FinPos'!E15</f>
        <v>0</v>
      </c>
      <c r="G70" s="73">
        <f>'D4-FinPos'!F8+'D4-FinPos'!F10+'D4-FinPos'!F15</f>
        <v>0</v>
      </c>
      <c r="H70" s="73">
        <f>'D4-FinPos'!G8+'D4-FinPos'!G10+'D4-FinPos'!G15</f>
        <v>0</v>
      </c>
      <c r="I70" s="73">
        <f>'D4-FinPos'!H8+'D4-FinPos'!H10+'D4-FinPos'!H15</f>
        <v>0</v>
      </c>
      <c r="J70" s="73">
        <f>'D4-FinPos'!I8+'D4-FinPos'!I10+'D4-FinPos'!I15</f>
        <v>0</v>
      </c>
      <c r="K70" s="73">
        <f>'D4-FinPos'!J8+'D4-FinPos'!J10+'D4-FinPos'!J15</f>
        <v>0</v>
      </c>
      <c r="L70" s="73">
        <f>'D4-FinPos'!K8+'D4-FinPos'!K10+'D4-FinPos'!K15</f>
        <v>0</v>
      </c>
    </row>
    <row r="71" spans="1:12" ht="12.75" customHeight="1" x14ac:dyDescent="0.25">
      <c r="A71" s="17" t="s">
        <v>434</v>
      </c>
      <c r="D71" s="73">
        <f>SUM('D2-FinPerf'!C5:C10)</f>
        <v>0</v>
      </c>
      <c r="E71" s="73">
        <f>SUM('D2-FinPerf'!D5:D10)</f>
        <v>0</v>
      </c>
      <c r="F71" s="73">
        <f>SUM('D2-FinPerf'!E5:E10)</f>
        <v>0</v>
      </c>
      <c r="G71" s="73">
        <f>SUM('D2-FinPerf'!F5:F10)</f>
        <v>0</v>
      </c>
      <c r="H71" s="73">
        <f>SUM('D2-FinPerf'!G5:G10)</f>
        <v>0</v>
      </c>
      <c r="I71" s="73">
        <f>SUM('D2-FinPerf'!H5:H10)</f>
        <v>0</v>
      </c>
      <c r="J71" s="73">
        <f>SUM('D2-FinPerf'!I5:I10)</f>
        <v>0</v>
      </c>
      <c r="K71" s="73">
        <f>SUM('D2-FinPerf'!J5:J10)</f>
        <v>0</v>
      </c>
      <c r="L71" s="73">
        <f>SUM('D2-FinPerf'!K5:K10)</f>
        <v>0</v>
      </c>
    </row>
    <row r="72" spans="1:12" ht="12.75" customHeight="1" x14ac:dyDescent="0.25">
      <c r="A72" s="17" t="s">
        <v>435</v>
      </c>
      <c r="D72" s="73">
        <f>'D4-FinPos'!C6+'D4-FinPos'!C7-'D4-FinPos'!C29</f>
        <v>13670725</v>
      </c>
      <c r="E72" s="73">
        <f>'D4-FinPos'!D6+'D4-FinPos'!D7-'D4-FinPos'!D29</f>
        <v>18750468</v>
      </c>
      <c r="F72" s="73">
        <f>'D4-FinPos'!E6+'D4-FinPos'!E7-'D4-FinPos'!E29</f>
        <v>15373639</v>
      </c>
      <c r="G72" s="73">
        <f>'D4-FinPos'!F6+'D4-FinPos'!F7-'D4-FinPos'!F29</f>
        <v>14000</v>
      </c>
      <c r="H72" s="73">
        <f>'D4-FinPos'!G6+'D4-FinPos'!G7-'D4-FinPos'!G29</f>
        <v>14000</v>
      </c>
      <c r="I72" s="73">
        <f>'D4-FinPos'!H6+'D4-FinPos'!H7-'D4-FinPos'!H29</f>
        <v>14000</v>
      </c>
      <c r="J72" s="73">
        <f>'D4-FinPos'!I6+'D4-FinPos'!I7-'D4-FinPos'!I29</f>
        <v>12000</v>
      </c>
      <c r="K72" s="73">
        <f>'D4-FinPos'!J6+'D4-FinPos'!J7-'D4-FinPos'!J29</f>
        <v>12600</v>
      </c>
      <c r="L72" s="73">
        <f>'D4-FinPos'!K6+'D4-FinPos'!K7-'D4-FinPos'!K29</f>
        <v>13230</v>
      </c>
    </row>
    <row r="73" spans="1:12" ht="12.75" customHeight="1" x14ac:dyDescent="0.25">
      <c r="A73" s="17" t="s">
        <v>437</v>
      </c>
      <c r="D73" s="73">
        <f>('D2-FinPerf'!C24+'D2-FinPerf'!C25+'D2-FinPerf'!C27+'D2-FinPerf'!C28+'D2-FinPerf'!C29+'D2-FinPerf'!C30+'D2-FinPerf'!C31+'D2-FinPerf'!C32+'D2-FinPerf'!C33)*'SD2'!D74</f>
        <v>16761930.6</v>
      </c>
      <c r="E73" s="73">
        <f>('D2-FinPerf'!D24+'D2-FinPerf'!D25+'D2-FinPerf'!D27+'D2-FinPerf'!D28+'D2-FinPerf'!D29+'D2-FinPerf'!D30+'D2-FinPerf'!D31+'D2-FinPerf'!D32+'D2-FinPerf'!D33)*'SD2'!E74</f>
        <v>10763028.665999999</v>
      </c>
      <c r="F73" s="73">
        <f>('D2-FinPerf'!E24+'D2-FinPerf'!E25+'D2-FinPerf'!E27+'D2-FinPerf'!E28+'D2-FinPerf'!E29+'D2-FinPerf'!E30+'D2-FinPerf'!E31+'D2-FinPerf'!E32+'D2-FinPerf'!E33)*'SD2'!F74</f>
        <v>9416833.7999999989</v>
      </c>
      <c r="G73" s="73">
        <f>('D2-FinPerf'!F24+'D2-FinPerf'!F25+'D2-FinPerf'!F27+'D2-FinPerf'!F28+'D2-FinPerf'!F29+'D2-FinPerf'!F30+'D2-FinPerf'!F31+'D2-FinPerf'!F32+'D2-FinPerf'!F33)*'SD2'!G74</f>
        <v>9184625.4000000004</v>
      </c>
      <c r="H73" s="73">
        <f>('D2-FinPerf'!G24+'D2-FinPerf'!G25+'D2-FinPerf'!G27+'D2-FinPerf'!G28+'D2-FinPerf'!G29+'D2-FinPerf'!G30+'D2-FinPerf'!G31+'D2-FinPerf'!G32+'D2-FinPerf'!G33)*'SD2'!H74</f>
        <v>10580819.4</v>
      </c>
      <c r="I73" s="73">
        <f>('D2-FinPerf'!H24+'D2-FinPerf'!H25+'D2-FinPerf'!H27+'D2-FinPerf'!H28+'D2-FinPerf'!H29+'D2-FinPerf'!H30+'D2-FinPerf'!H31+'D2-FinPerf'!H32+'D2-FinPerf'!H33)*'SD2'!I74</f>
        <v>10580819.4</v>
      </c>
      <c r="J73" s="73">
        <f>('D2-FinPerf'!I24+'D2-FinPerf'!I25+'D2-FinPerf'!I27+'D2-FinPerf'!I28+'D2-FinPerf'!I29+'D2-FinPerf'!I30+'D2-FinPerf'!I31+'D2-FinPerf'!I32+'D2-FinPerf'!I33)*'SD2'!J74</f>
        <v>9420300</v>
      </c>
      <c r="K73" s="73">
        <f>('D2-FinPerf'!J24+'D2-FinPerf'!J25+'D2-FinPerf'!J27+'D2-FinPerf'!J28+'D2-FinPerf'!J29+'D2-FinPerf'!J30+'D2-FinPerf'!J31+'D2-FinPerf'!J32+'D2-FinPerf'!J33)*'SD2'!K74</f>
        <v>10641315</v>
      </c>
      <c r="L73" s="73">
        <f>('D2-FinPerf'!K24+'D2-FinPerf'!K25+'D2-FinPerf'!K27+'D2-FinPerf'!K28+'D2-FinPerf'!K29+'D2-FinPerf'!K30+'D2-FinPerf'!K31+'D2-FinPerf'!K32+'D2-FinPerf'!K33)*'SD2'!L74</f>
        <v>12463380.75</v>
      </c>
    </row>
    <row r="74" spans="1:12" ht="12.75" customHeight="1" x14ac:dyDescent="0.25">
      <c r="A74" s="17" t="s">
        <v>436</v>
      </c>
      <c r="D74" s="328">
        <v>0.6</v>
      </c>
      <c r="E74" s="328">
        <f>D74</f>
        <v>0.6</v>
      </c>
      <c r="F74" s="328">
        <f t="shared" ref="F74:L74" si="14">E74</f>
        <v>0.6</v>
      </c>
      <c r="G74" s="328">
        <f t="shared" si="14"/>
        <v>0.6</v>
      </c>
      <c r="H74" s="328">
        <f t="shared" si="14"/>
        <v>0.6</v>
      </c>
      <c r="I74" s="328">
        <f t="shared" si="14"/>
        <v>0.6</v>
      </c>
      <c r="J74" s="328">
        <f t="shared" si="14"/>
        <v>0.6</v>
      </c>
      <c r="K74" s="328">
        <f t="shared" si="14"/>
        <v>0.6</v>
      </c>
      <c r="L74" s="328">
        <f t="shared" si="14"/>
        <v>0.6</v>
      </c>
    </row>
    <row r="75" spans="1:12" ht="12.75" customHeight="1" x14ac:dyDescent="0.25">
      <c r="A75" s="17" t="s">
        <v>1054</v>
      </c>
      <c r="D75" s="185"/>
      <c r="E75" s="185"/>
      <c r="F75" s="185"/>
      <c r="G75" s="185"/>
      <c r="H75" s="185"/>
      <c r="I75" s="185"/>
      <c r="J75" s="185"/>
      <c r="K75" s="185"/>
      <c r="L75" s="185"/>
    </row>
    <row r="76" spans="1:12" ht="12.75" customHeight="1" x14ac:dyDescent="0.25">
      <c r="D76" s="44"/>
      <c r="E76" s="44"/>
      <c r="F76" s="44"/>
      <c r="G76" s="44"/>
      <c r="H76" s="44"/>
      <c r="I76" s="44"/>
      <c r="J76" s="44"/>
      <c r="K76" s="44"/>
      <c r="L76" s="44"/>
    </row>
    <row r="77" spans="1:12" ht="12.75" customHeight="1" x14ac:dyDescent="0.25">
      <c r="D77" s="44"/>
      <c r="E77" s="44"/>
      <c r="F77" s="44"/>
      <c r="G77" s="44"/>
      <c r="H77" s="44"/>
      <c r="I77" s="44"/>
      <c r="J77" s="44"/>
      <c r="K77" s="44"/>
      <c r="L77" s="44"/>
    </row>
    <row r="78" spans="1:12" ht="12.75" customHeight="1" x14ac:dyDescent="0.25">
      <c r="D78" s="44"/>
      <c r="E78" s="44"/>
      <c r="F78" s="44"/>
      <c r="G78" s="44"/>
      <c r="H78" s="44"/>
      <c r="I78" s="44"/>
      <c r="J78" s="44"/>
      <c r="K78" s="44"/>
      <c r="L78" s="44"/>
    </row>
    <row r="79" spans="1:12" ht="12.75" customHeight="1" x14ac:dyDescent="0.25">
      <c r="D79" s="44"/>
      <c r="E79" s="44"/>
      <c r="F79" s="44"/>
      <c r="G79" s="44"/>
      <c r="H79" s="44"/>
      <c r="I79" s="44"/>
      <c r="J79" s="44"/>
      <c r="K79" s="44"/>
      <c r="L79" s="44"/>
    </row>
    <row r="80" spans="1:12" ht="12.75" customHeight="1" x14ac:dyDescent="0.25">
      <c r="D80" s="44"/>
      <c r="E80" s="44"/>
      <c r="F80" s="44"/>
      <c r="G80" s="44"/>
      <c r="H80" s="44"/>
      <c r="I80" s="44"/>
      <c r="J80" s="44"/>
      <c r="K80" s="44"/>
      <c r="L80" s="44"/>
    </row>
    <row r="81" spans="4:12" ht="12.75" customHeight="1" x14ac:dyDescent="0.25">
      <c r="D81" s="44"/>
      <c r="E81" s="44"/>
      <c r="F81" s="44"/>
      <c r="G81" s="44"/>
      <c r="H81" s="44"/>
      <c r="I81" s="44"/>
      <c r="J81" s="44"/>
      <c r="K81" s="44"/>
      <c r="L81" s="44"/>
    </row>
    <row r="82" spans="4:12" ht="12.75" customHeight="1" x14ac:dyDescent="0.25">
      <c r="D82" s="44"/>
      <c r="E82" s="44"/>
      <c r="F82" s="44"/>
      <c r="G82" s="44"/>
      <c r="H82" s="44"/>
      <c r="I82" s="44"/>
      <c r="J82" s="44"/>
      <c r="K82" s="44"/>
      <c r="L82" s="44"/>
    </row>
    <row r="83" spans="4:12" ht="12.75" customHeight="1" x14ac:dyDescent="0.25">
      <c r="D83" s="44"/>
      <c r="E83" s="44"/>
      <c r="F83" s="44"/>
      <c r="G83" s="44"/>
      <c r="H83" s="44"/>
      <c r="I83" s="44"/>
      <c r="J83" s="44"/>
      <c r="K83" s="44"/>
      <c r="L83" s="44"/>
    </row>
    <row r="84" spans="4:12" ht="12.75" customHeight="1" x14ac:dyDescent="0.25">
      <c r="D84" s="44"/>
      <c r="E84" s="44"/>
      <c r="F84" s="44"/>
      <c r="G84" s="44"/>
      <c r="H84" s="44"/>
      <c r="I84" s="44"/>
      <c r="J84" s="44"/>
      <c r="K84" s="44"/>
      <c r="L84" s="44"/>
    </row>
    <row r="85" spans="4:12" ht="12.75" customHeight="1" x14ac:dyDescent="0.25">
      <c r="D85" s="44"/>
      <c r="E85" s="44"/>
      <c r="F85" s="44"/>
      <c r="G85" s="44"/>
      <c r="H85" s="44"/>
      <c r="I85" s="44"/>
      <c r="J85" s="44"/>
      <c r="K85" s="44"/>
      <c r="L85" s="44"/>
    </row>
    <row r="86" spans="4:12" ht="12.75" customHeight="1" x14ac:dyDescent="0.25">
      <c r="D86" s="44"/>
      <c r="E86" s="44"/>
      <c r="F86" s="44"/>
      <c r="G86" s="44"/>
      <c r="H86" s="44"/>
      <c r="I86" s="44"/>
      <c r="J86" s="44"/>
      <c r="K86" s="44"/>
      <c r="L86" s="44"/>
    </row>
    <row r="87" spans="4:12" ht="12.75" customHeight="1" x14ac:dyDescent="0.25">
      <c r="D87" s="44"/>
      <c r="E87" s="44"/>
      <c r="F87" s="44"/>
      <c r="G87" s="44"/>
      <c r="H87" s="44"/>
      <c r="I87" s="44"/>
      <c r="J87" s="44"/>
      <c r="K87" s="44"/>
      <c r="L87" s="44"/>
    </row>
    <row r="88" spans="4:12" ht="12.75" customHeight="1" x14ac:dyDescent="0.25">
      <c r="D88" s="44"/>
      <c r="E88" s="44"/>
      <c r="F88" s="44"/>
      <c r="G88" s="44"/>
      <c r="H88" s="44"/>
      <c r="I88" s="44"/>
      <c r="J88" s="44"/>
      <c r="K88" s="44"/>
      <c r="L88" s="44"/>
    </row>
    <row r="89" spans="4:12" ht="12.75" customHeight="1" x14ac:dyDescent="0.25">
      <c r="D89" s="44"/>
      <c r="E89" s="44"/>
      <c r="F89" s="44"/>
      <c r="G89" s="44"/>
      <c r="H89" s="44"/>
      <c r="I89" s="44"/>
      <c r="J89" s="44"/>
      <c r="K89" s="44"/>
      <c r="L89" s="44"/>
    </row>
    <row r="90" spans="4:12" ht="12.75" customHeight="1" x14ac:dyDescent="0.25">
      <c r="D90" s="44"/>
      <c r="E90" s="44"/>
      <c r="F90" s="44"/>
      <c r="G90" s="44"/>
      <c r="H90" s="44"/>
      <c r="I90" s="44"/>
      <c r="J90" s="44"/>
      <c r="K90" s="44"/>
      <c r="L90" s="44"/>
    </row>
    <row r="91" spans="4:12" ht="12.75" customHeight="1" x14ac:dyDescent="0.25">
      <c r="D91" s="44"/>
      <c r="E91" s="44"/>
      <c r="F91" s="44"/>
      <c r="G91" s="44"/>
      <c r="H91" s="44"/>
      <c r="I91" s="44"/>
      <c r="J91" s="44"/>
      <c r="K91" s="44"/>
      <c r="L91" s="44"/>
    </row>
    <row r="92" spans="4:12" ht="12.75" customHeight="1" x14ac:dyDescent="0.25">
      <c r="D92" s="44"/>
      <c r="E92" s="44"/>
      <c r="F92" s="44"/>
      <c r="G92" s="44"/>
      <c r="H92" s="44"/>
      <c r="I92" s="44"/>
      <c r="J92" s="44"/>
      <c r="K92" s="44"/>
      <c r="L92" s="44"/>
    </row>
    <row r="93" spans="4:12" ht="12.75" customHeight="1" x14ac:dyDescent="0.25">
      <c r="D93" s="44"/>
      <c r="E93" s="44"/>
      <c r="F93" s="44"/>
      <c r="G93" s="44"/>
      <c r="H93" s="44"/>
      <c r="I93" s="44"/>
      <c r="J93" s="44"/>
      <c r="K93" s="44"/>
      <c r="L93" s="44"/>
    </row>
    <row r="94" spans="4:12" ht="12.75" customHeight="1" x14ac:dyDescent="0.25">
      <c r="D94" s="44"/>
      <c r="E94" s="44"/>
      <c r="F94" s="44"/>
      <c r="G94" s="44"/>
      <c r="H94" s="44"/>
      <c r="I94" s="44"/>
      <c r="J94" s="44"/>
      <c r="K94" s="44"/>
      <c r="L94" s="44"/>
    </row>
    <row r="95" spans="4:12" ht="12.75" customHeight="1" x14ac:dyDescent="0.25">
      <c r="D95" s="44"/>
      <c r="E95" s="44"/>
      <c r="F95" s="44"/>
      <c r="G95" s="44"/>
      <c r="H95" s="44"/>
      <c r="I95" s="44"/>
      <c r="J95" s="44"/>
      <c r="K95" s="44"/>
      <c r="L95" s="44"/>
    </row>
    <row r="96" spans="4:12" ht="12.75" customHeight="1" x14ac:dyDescent="0.25">
      <c r="D96" s="44"/>
      <c r="E96" s="44"/>
      <c r="F96" s="44"/>
      <c r="G96" s="44"/>
      <c r="H96" s="44"/>
      <c r="I96" s="44"/>
      <c r="J96" s="44"/>
      <c r="K96" s="44"/>
      <c r="L96" s="44"/>
    </row>
    <row r="97" spans="4:12" ht="12.75" customHeight="1" x14ac:dyDescent="0.25">
      <c r="D97" s="44"/>
      <c r="E97" s="44"/>
      <c r="F97" s="44"/>
      <c r="G97" s="44"/>
      <c r="H97" s="44"/>
      <c r="I97" s="44"/>
      <c r="J97" s="44"/>
      <c r="K97" s="44"/>
      <c r="L97" s="44"/>
    </row>
    <row r="98" spans="4:12" ht="12.75" customHeight="1" x14ac:dyDescent="0.25">
      <c r="D98" s="44"/>
      <c r="E98" s="44"/>
      <c r="F98" s="44"/>
      <c r="G98" s="44"/>
      <c r="H98" s="44"/>
      <c r="I98" s="44"/>
      <c r="J98" s="44"/>
      <c r="K98" s="44"/>
      <c r="L98" s="44"/>
    </row>
    <row r="99" spans="4:12" ht="12.75" customHeight="1" x14ac:dyDescent="0.25">
      <c r="D99" s="44"/>
      <c r="E99" s="44"/>
      <c r="F99" s="44"/>
      <c r="G99" s="44"/>
      <c r="H99" s="44"/>
      <c r="I99" s="44"/>
      <c r="J99" s="44"/>
      <c r="K99" s="44"/>
      <c r="L99" s="44"/>
    </row>
    <row r="100" spans="4:12" ht="12.75" customHeight="1" x14ac:dyDescent="0.25">
      <c r="D100" s="44"/>
      <c r="E100" s="44"/>
      <c r="F100" s="44"/>
      <c r="G100" s="44"/>
      <c r="H100" s="44"/>
      <c r="I100" s="44"/>
      <c r="J100" s="44"/>
      <c r="K100" s="44"/>
      <c r="L100" s="44"/>
    </row>
    <row r="101" spans="4:12" ht="12.75" customHeight="1" x14ac:dyDescent="0.25">
      <c r="D101" s="44"/>
      <c r="E101" s="44"/>
      <c r="F101" s="44"/>
      <c r="G101" s="44"/>
      <c r="H101" s="44"/>
      <c r="I101" s="44"/>
      <c r="J101" s="44"/>
      <c r="K101" s="44"/>
      <c r="L101" s="44"/>
    </row>
    <row r="102" spans="4:12" ht="12.75" customHeight="1" x14ac:dyDescent="0.25">
      <c r="D102" s="44"/>
      <c r="E102" s="44"/>
      <c r="F102" s="44"/>
      <c r="G102" s="44"/>
      <c r="H102" s="44"/>
      <c r="I102" s="44"/>
      <c r="J102" s="44"/>
      <c r="K102" s="44"/>
      <c r="L102" s="44"/>
    </row>
    <row r="103" spans="4:12" ht="12.75" customHeight="1" x14ac:dyDescent="0.25">
      <c r="D103" s="44"/>
      <c r="E103" s="44"/>
      <c r="F103" s="44"/>
      <c r="G103" s="44"/>
      <c r="H103" s="44"/>
      <c r="I103" s="44"/>
      <c r="J103" s="44"/>
      <c r="K103" s="44"/>
      <c r="L103" s="44"/>
    </row>
    <row r="104" spans="4:12" ht="12.75" customHeight="1" x14ac:dyDescent="0.25">
      <c r="D104" s="44"/>
      <c r="E104" s="44"/>
      <c r="F104" s="44"/>
      <c r="G104" s="44"/>
      <c r="H104" s="44"/>
      <c r="I104" s="44"/>
      <c r="J104" s="44"/>
      <c r="K104" s="44"/>
      <c r="L104" s="44"/>
    </row>
    <row r="105" spans="4:12" ht="12.75" customHeight="1" x14ac:dyDescent="0.25">
      <c r="D105" s="44"/>
      <c r="E105" s="44"/>
      <c r="F105" s="44"/>
      <c r="G105" s="44"/>
      <c r="H105" s="44"/>
      <c r="I105" s="44"/>
      <c r="J105" s="44"/>
      <c r="K105" s="44"/>
      <c r="L105" s="44"/>
    </row>
    <row r="106" spans="4:12" ht="12.75" customHeight="1" x14ac:dyDescent="0.25">
      <c r="D106" s="44"/>
      <c r="E106" s="44"/>
      <c r="F106" s="44"/>
      <c r="G106" s="44"/>
      <c r="H106" s="44"/>
      <c r="I106" s="44"/>
      <c r="J106" s="44"/>
      <c r="K106" s="44"/>
      <c r="L106" s="44"/>
    </row>
  </sheetData>
  <sheetProtection sheet="1" objects="1" scenarios="1"/>
  <mergeCells count="15">
    <mergeCell ref="A27:A29"/>
    <mergeCell ref="A30:A32"/>
    <mergeCell ref="L3:L4"/>
    <mergeCell ref="C2:C3"/>
    <mergeCell ref="F3:F4"/>
    <mergeCell ref="G3:G4"/>
    <mergeCell ref="H3:H4"/>
    <mergeCell ref="I3:I4"/>
    <mergeCell ref="G2:I2"/>
    <mergeCell ref="K3:K4"/>
    <mergeCell ref="A2:A3"/>
    <mergeCell ref="B2:B3"/>
    <mergeCell ref="D3:D4"/>
    <mergeCell ref="E3:E4"/>
    <mergeCell ref="J3:J4"/>
  </mergeCells>
  <phoneticPr fontId="2" type="noConversion"/>
  <printOptions horizontalCentered="1"/>
  <pageMargins left="0.35433070866141736" right="0.15748031496062992" top="0.78740157480314965" bottom="0.59055118110236227" header="0.51181102362204722" footer="0.39370078740157483"/>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3">
    <tabColor rgb="FFFF0000"/>
    <pageSetUpPr fitToPage="1"/>
  </sheetPr>
  <dimension ref="A1:O59"/>
  <sheetViews>
    <sheetView showGridLines="0" zoomScaleNormal="100" workbookViewId="0">
      <pane xSplit="2" ySplit="3" topLeftCell="C4" activePane="bottomRight" state="frozen"/>
      <selection activeCell="A23" sqref="A23"/>
      <selection pane="topRight" activeCell="A23" sqref="A23"/>
      <selection pane="bottomLeft" activeCell="A23" sqref="A23"/>
      <selection pane="bottomRight" activeCell="N7" sqref="N7"/>
    </sheetView>
  </sheetViews>
  <sheetFormatPr defaultColWidth="9.140625" defaultRowHeight="12.75" x14ac:dyDescent="0.25"/>
  <cols>
    <col min="1" max="1" width="30.7109375" style="17" customWidth="1"/>
    <col min="2" max="2" width="3.140625" style="32" customWidth="1"/>
    <col min="3" max="5" width="15.7109375" style="17" customWidth="1"/>
    <col min="6" max="6" width="15.42578125" style="17" customWidth="1"/>
    <col min="7" max="7" width="12.85546875" style="17" customWidth="1"/>
    <col min="8" max="8" width="15.140625" style="17" customWidth="1"/>
    <col min="9" max="9" width="16.42578125" style="17" customWidth="1"/>
    <col min="10" max="10" width="14.140625" style="17" customWidth="1"/>
    <col min="11" max="11" width="12.5703125" style="17" customWidth="1"/>
    <col min="12" max="12" width="11.28515625" style="17" customWidth="1"/>
    <col min="13" max="13" width="13.28515625" style="17" customWidth="1"/>
    <col min="14" max="14" width="13.5703125" style="17" customWidth="1"/>
    <col min="15" max="15" width="14.140625" style="17" customWidth="1"/>
    <col min="16" max="18" width="9.5703125" style="17" customWidth="1"/>
    <col min="19" max="19" width="9.85546875" style="17" customWidth="1"/>
    <col min="20" max="22" width="9.5703125" style="17" customWidth="1"/>
    <col min="23" max="24" width="9.85546875" style="17" customWidth="1"/>
    <col min="25" max="16384" width="9.140625" style="17"/>
  </cols>
  <sheetData>
    <row r="1" spans="1:15" ht="13.5" x14ac:dyDescent="0.25">
      <c r="A1" s="88" t="str">
        <f>_MEB5</f>
        <v>Harry Gwala Development Agency (Pty) Ltd - Supporting Table SD3 Budgeted Investment Portfolio</v>
      </c>
    </row>
    <row r="2" spans="1:15" ht="43.5" customHeight="1" x14ac:dyDescent="0.25">
      <c r="A2" s="301" t="s">
        <v>1027</v>
      </c>
      <c r="B2" s="451" t="str">
        <f>head27</f>
        <v>Ref</v>
      </c>
      <c r="C2" s="18" t="s">
        <v>1028</v>
      </c>
      <c r="D2" s="452" t="s">
        <v>1029</v>
      </c>
      <c r="E2" s="452" t="s">
        <v>1030</v>
      </c>
      <c r="F2" s="452" t="s">
        <v>1031</v>
      </c>
      <c r="G2" s="452" t="s">
        <v>1040</v>
      </c>
      <c r="H2" s="452" t="s">
        <v>1032</v>
      </c>
      <c r="I2" s="452" t="s">
        <v>1033</v>
      </c>
      <c r="J2" s="543" t="s">
        <v>133</v>
      </c>
      <c r="K2" s="85" t="s">
        <v>1034</v>
      </c>
      <c r="L2" s="80" t="s">
        <v>1035</v>
      </c>
      <c r="M2" s="18" t="s">
        <v>1041</v>
      </c>
      <c r="N2" s="18" t="s">
        <v>1036</v>
      </c>
      <c r="O2" s="80" t="s">
        <v>1037</v>
      </c>
    </row>
    <row r="3" spans="1:15" ht="12.75" customHeight="1" x14ac:dyDescent="0.25">
      <c r="A3" s="453" t="s">
        <v>1038</v>
      </c>
      <c r="B3" s="454"/>
      <c r="C3" s="455" t="s">
        <v>1039</v>
      </c>
      <c r="D3" s="456"/>
      <c r="E3" s="390"/>
      <c r="F3" s="399"/>
      <c r="G3" s="399"/>
      <c r="H3" s="399"/>
      <c r="I3" s="399"/>
      <c r="J3" s="544"/>
      <c r="K3" s="545"/>
      <c r="L3" s="545"/>
      <c r="M3" s="545"/>
      <c r="N3" s="545"/>
      <c r="O3" s="546"/>
    </row>
    <row r="4" spans="1:15" ht="12.75" customHeight="1" x14ac:dyDescent="0.25">
      <c r="A4" s="190"/>
      <c r="B4" s="196"/>
      <c r="C4" s="185"/>
      <c r="D4" s="191"/>
      <c r="E4" s="192"/>
      <c r="F4" s="168"/>
      <c r="G4" s="167"/>
      <c r="H4" s="168"/>
      <c r="I4" s="167"/>
      <c r="J4" s="457"/>
      <c r="K4" s="360"/>
      <c r="L4" s="362"/>
      <c r="M4" s="354"/>
      <c r="N4" s="354"/>
      <c r="O4" s="99">
        <f>SUM(K4:N4)</f>
        <v>0</v>
      </c>
    </row>
    <row r="5" spans="1:15" ht="12.75" customHeight="1" x14ac:dyDescent="0.25">
      <c r="A5" s="190" t="s">
        <v>1192</v>
      </c>
      <c r="B5" s="196"/>
      <c r="C5" s="185" t="s">
        <v>1191</v>
      </c>
      <c r="D5" s="191" t="s">
        <v>1194</v>
      </c>
      <c r="E5" s="192" t="s">
        <v>544</v>
      </c>
      <c r="F5" s="168" t="s">
        <v>1068</v>
      </c>
      <c r="G5" s="167"/>
      <c r="H5" s="168">
        <v>0</v>
      </c>
      <c r="I5" s="167" t="s">
        <v>1195</v>
      </c>
      <c r="J5" s="457"/>
      <c r="K5" s="360">
        <v>3051399.97</v>
      </c>
      <c r="L5" s="362">
        <v>12055</v>
      </c>
      <c r="M5" s="354">
        <v>0</v>
      </c>
      <c r="N5" s="354">
        <v>0</v>
      </c>
      <c r="O5" s="99">
        <f t="shared" ref="O5:O22" si="0">SUM(K5:N5)</f>
        <v>3063454.97</v>
      </c>
    </row>
    <row r="6" spans="1:15" ht="12.75" customHeight="1" x14ac:dyDescent="0.25">
      <c r="A6" s="190" t="s">
        <v>1193</v>
      </c>
      <c r="B6" s="196"/>
      <c r="C6" s="185" t="s">
        <v>1191</v>
      </c>
      <c r="D6" s="191" t="s">
        <v>1194</v>
      </c>
      <c r="E6" s="192" t="s">
        <v>544</v>
      </c>
      <c r="F6" s="168" t="s">
        <v>1068</v>
      </c>
      <c r="G6" s="167"/>
      <c r="H6" s="168">
        <v>0</v>
      </c>
      <c r="I6" s="167" t="s">
        <v>1195</v>
      </c>
      <c r="J6" s="457"/>
      <c r="K6" s="360">
        <v>10198459</v>
      </c>
      <c r="L6" s="362">
        <v>45527</v>
      </c>
      <c r="M6" s="354">
        <v>0</v>
      </c>
      <c r="N6" s="354">
        <v>0</v>
      </c>
      <c r="O6" s="99">
        <f t="shared" si="0"/>
        <v>10243986</v>
      </c>
    </row>
    <row r="7" spans="1:15" ht="12.75" customHeight="1" x14ac:dyDescent="0.25">
      <c r="A7" s="190"/>
      <c r="B7" s="196"/>
      <c r="C7" s="185"/>
      <c r="D7" s="191"/>
      <c r="E7" s="192"/>
      <c r="F7" s="168"/>
      <c r="G7" s="167"/>
      <c r="H7" s="168"/>
      <c r="I7" s="167"/>
      <c r="J7" s="457"/>
      <c r="K7" s="360"/>
      <c r="L7" s="362"/>
      <c r="M7" s="354"/>
      <c r="N7" s="354"/>
      <c r="O7" s="99">
        <f t="shared" si="0"/>
        <v>0</v>
      </c>
    </row>
    <row r="8" spans="1:15" ht="12.75" customHeight="1" x14ac:dyDescent="0.25">
      <c r="A8" s="190"/>
      <c r="B8" s="196"/>
      <c r="C8" s="185"/>
      <c r="D8" s="191"/>
      <c r="E8" s="192"/>
      <c r="F8" s="168"/>
      <c r="G8" s="167"/>
      <c r="H8" s="168"/>
      <c r="I8" s="167"/>
      <c r="J8" s="457"/>
      <c r="K8" s="360"/>
      <c r="L8" s="362"/>
      <c r="M8" s="354"/>
      <c r="N8" s="354"/>
      <c r="O8" s="99">
        <f t="shared" si="0"/>
        <v>0</v>
      </c>
    </row>
    <row r="9" spans="1:15" ht="12.75" customHeight="1" x14ac:dyDescent="0.25">
      <c r="A9" s="190"/>
      <c r="B9" s="196"/>
      <c r="C9" s="185"/>
      <c r="D9" s="191"/>
      <c r="E9" s="192"/>
      <c r="F9" s="168"/>
      <c r="G9" s="167"/>
      <c r="H9" s="168"/>
      <c r="I9" s="167"/>
      <c r="J9" s="457"/>
      <c r="K9" s="360"/>
      <c r="L9" s="362"/>
      <c r="M9" s="354"/>
      <c r="N9" s="354"/>
      <c r="O9" s="99">
        <f t="shared" si="0"/>
        <v>0</v>
      </c>
    </row>
    <row r="10" spans="1:15" ht="12.75" customHeight="1" x14ac:dyDescent="0.25">
      <c r="A10" s="190"/>
      <c r="B10" s="196"/>
      <c r="C10" s="185"/>
      <c r="D10" s="191"/>
      <c r="E10" s="192"/>
      <c r="F10" s="168"/>
      <c r="G10" s="167"/>
      <c r="H10" s="168"/>
      <c r="I10" s="167"/>
      <c r="J10" s="457"/>
      <c r="K10" s="360"/>
      <c r="L10" s="362"/>
      <c r="M10" s="354"/>
      <c r="N10" s="354"/>
      <c r="O10" s="99">
        <f t="shared" si="0"/>
        <v>0</v>
      </c>
    </row>
    <row r="11" spans="1:15" ht="12.75" customHeight="1" x14ac:dyDescent="0.25">
      <c r="A11" s="190"/>
      <c r="B11" s="196"/>
      <c r="C11" s="185"/>
      <c r="D11" s="191"/>
      <c r="E11" s="192"/>
      <c r="F11" s="168"/>
      <c r="G11" s="167"/>
      <c r="H11" s="168"/>
      <c r="I11" s="167"/>
      <c r="J11" s="457"/>
      <c r="K11" s="360"/>
      <c r="L11" s="362"/>
      <c r="M11" s="354"/>
      <c r="N11" s="354"/>
      <c r="O11" s="99">
        <f t="shared" si="0"/>
        <v>0</v>
      </c>
    </row>
    <row r="12" spans="1:15" ht="12.75" customHeight="1" x14ac:dyDescent="0.25">
      <c r="A12" s="190"/>
      <c r="B12" s="196"/>
      <c r="C12" s="185"/>
      <c r="D12" s="191"/>
      <c r="E12" s="192"/>
      <c r="F12" s="168"/>
      <c r="G12" s="167"/>
      <c r="H12" s="168"/>
      <c r="I12" s="167"/>
      <c r="J12" s="457"/>
      <c r="K12" s="360"/>
      <c r="L12" s="362"/>
      <c r="M12" s="354"/>
      <c r="N12" s="354"/>
      <c r="O12" s="99">
        <f t="shared" si="0"/>
        <v>0</v>
      </c>
    </row>
    <row r="13" spans="1:15" ht="12.75" customHeight="1" x14ac:dyDescent="0.25">
      <c r="A13" s="190"/>
      <c r="B13" s="196"/>
      <c r="C13" s="185"/>
      <c r="D13" s="191"/>
      <c r="E13" s="192"/>
      <c r="F13" s="168"/>
      <c r="G13" s="167"/>
      <c r="H13" s="168"/>
      <c r="I13" s="167"/>
      <c r="J13" s="457"/>
      <c r="K13" s="360"/>
      <c r="L13" s="362"/>
      <c r="M13" s="354"/>
      <c r="N13" s="354"/>
      <c r="O13" s="99">
        <f t="shared" si="0"/>
        <v>0</v>
      </c>
    </row>
    <row r="14" spans="1:15" ht="12.75" customHeight="1" x14ac:dyDescent="0.25">
      <c r="A14" s="190"/>
      <c r="B14" s="196"/>
      <c r="C14" s="185"/>
      <c r="D14" s="191"/>
      <c r="E14" s="192"/>
      <c r="F14" s="168"/>
      <c r="G14" s="167"/>
      <c r="H14" s="168"/>
      <c r="I14" s="167"/>
      <c r="J14" s="457"/>
      <c r="K14" s="360"/>
      <c r="L14" s="362"/>
      <c r="M14" s="354"/>
      <c r="N14" s="354"/>
      <c r="O14" s="99">
        <f t="shared" si="0"/>
        <v>0</v>
      </c>
    </row>
    <row r="15" spans="1:15" ht="12.75" customHeight="1" x14ac:dyDescent="0.25">
      <c r="A15" s="190"/>
      <c r="B15" s="196"/>
      <c r="C15" s="185"/>
      <c r="D15" s="191"/>
      <c r="E15" s="192"/>
      <c r="F15" s="168"/>
      <c r="G15" s="167"/>
      <c r="H15" s="168"/>
      <c r="I15" s="167"/>
      <c r="J15" s="457"/>
      <c r="K15" s="360"/>
      <c r="L15" s="362"/>
      <c r="M15" s="354"/>
      <c r="N15" s="354"/>
      <c r="O15" s="99">
        <f t="shared" si="0"/>
        <v>0</v>
      </c>
    </row>
    <row r="16" spans="1:15" ht="12.75" customHeight="1" x14ac:dyDescent="0.25">
      <c r="A16" s="190"/>
      <c r="B16" s="196"/>
      <c r="C16" s="185"/>
      <c r="D16" s="191"/>
      <c r="E16" s="192"/>
      <c r="F16" s="168"/>
      <c r="G16" s="167"/>
      <c r="H16" s="168"/>
      <c r="I16" s="167"/>
      <c r="J16" s="457"/>
      <c r="K16" s="360"/>
      <c r="L16" s="362"/>
      <c r="M16" s="354"/>
      <c r="N16" s="354"/>
      <c r="O16" s="99">
        <f t="shared" si="0"/>
        <v>0</v>
      </c>
    </row>
    <row r="17" spans="1:15" ht="12.75" customHeight="1" x14ac:dyDescent="0.25">
      <c r="A17" s="190"/>
      <c r="B17" s="196"/>
      <c r="C17" s="185"/>
      <c r="D17" s="191"/>
      <c r="E17" s="192"/>
      <c r="F17" s="168"/>
      <c r="G17" s="167"/>
      <c r="H17" s="168"/>
      <c r="I17" s="167"/>
      <c r="J17" s="457"/>
      <c r="K17" s="360"/>
      <c r="L17" s="362"/>
      <c r="M17" s="354"/>
      <c r="N17" s="354"/>
      <c r="O17" s="99">
        <f t="shared" si="0"/>
        <v>0</v>
      </c>
    </row>
    <row r="18" spans="1:15" ht="12.75" customHeight="1" x14ac:dyDescent="0.25">
      <c r="A18" s="190"/>
      <c r="B18" s="196"/>
      <c r="C18" s="185"/>
      <c r="D18" s="191"/>
      <c r="E18" s="192"/>
      <c r="F18" s="168"/>
      <c r="G18" s="167"/>
      <c r="H18" s="168"/>
      <c r="I18" s="167"/>
      <c r="J18" s="457"/>
      <c r="K18" s="360"/>
      <c r="L18" s="362"/>
      <c r="M18" s="354"/>
      <c r="N18" s="354"/>
      <c r="O18" s="99">
        <f t="shared" si="0"/>
        <v>0</v>
      </c>
    </row>
    <row r="19" spans="1:15" ht="12.75" customHeight="1" x14ac:dyDescent="0.25">
      <c r="A19" s="190"/>
      <c r="B19" s="196"/>
      <c r="C19" s="185"/>
      <c r="D19" s="191"/>
      <c r="E19" s="192"/>
      <c r="F19" s="168"/>
      <c r="G19" s="167"/>
      <c r="H19" s="168"/>
      <c r="I19" s="167"/>
      <c r="J19" s="457"/>
      <c r="K19" s="360"/>
      <c r="L19" s="362"/>
      <c r="M19" s="354"/>
      <c r="N19" s="354"/>
      <c r="O19" s="99">
        <f t="shared" si="0"/>
        <v>0</v>
      </c>
    </row>
    <row r="20" spans="1:15" ht="12.75" customHeight="1" x14ac:dyDescent="0.25">
      <c r="A20" s="190"/>
      <c r="B20" s="196"/>
      <c r="C20" s="185"/>
      <c r="D20" s="191"/>
      <c r="E20" s="192"/>
      <c r="F20" s="168"/>
      <c r="G20" s="167"/>
      <c r="H20" s="168"/>
      <c r="I20" s="167"/>
      <c r="J20" s="457"/>
      <c r="K20" s="360"/>
      <c r="L20" s="362"/>
      <c r="M20" s="354"/>
      <c r="N20" s="354"/>
      <c r="O20" s="99">
        <f t="shared" si="0"/>
        <v>0</v>
      </c>
    </row>
    <row r="21" spans="1:15" ht="12.75" customHeight="1" x14ac:dyDescent="0.25">
      <c r="A21" s="190"/>
      <c r="B21" s="196"/>
      <c r="C21" s="185"/>
      <c r="D21" s="191"/>
      <c r="E21" s="192"/>
      <c r="F21" s="168"/>
      <c r="G21" s="167"/>
      <c r="H21" s="168"/>
      <c r="I21" s="167"/>
      <c r="J21" s="457"/>
      <c r="K21" s="360"/>
      <c r="L21" s="362"/>
      <c r="M21" s="354"/>
      <c r="N21" s="354"/>
      <c r="O21" s="99">
        <f t="shared" si="0"/>
        <v>0</v>
      </c>
    </row>
    <row r="22" spans="1:15" ht="12.75" customHeight="1" x14ac:dyDescent="0.25">
      <c r="A22" s="190"/>
      <c r="B22" s="196"/>
      <c r="C22" s="185"/>
      <c r="D22" s="191"/>
      <c r="E22" s="192"/>
      <c r="F22" s="168"/>
      <c r="G22" s="167"/>
      <c r="H22" s="168"/>
      <c r="I22" s="167"/>
      <c r="J22" s="457"/>
      <c r="K22" s="360"/>
      <c r="L22" s="362"/>
      <c r="M22" s="354"/>
      <c r="N22" s="354"/>
      <c r="O22" s="99">
        <f t="shared" si="0"/>
        <v>0</v>
      </c>
    </row>
    <row r="23" spans="1:15" ht="12.75" customHeight="1" x14ac:dyDescent="0.25">
      <c r="A23" s="28"/>
      <c r="B23" s="109">
        <v>1</v>
      </c>
      <c r="C23" s="334"/>
      <c r="D23" s="335"/>
      <c r="E23" s="336"/>
      <c r="F23" s="30">
        <f>SUM(F4:F22)</f>
        <v>0</v>
      </c>
      <c r="G23" s="108">
        <f>SUM(G4:G22)</f>
        <v>0</v>
      </c>
      <c r="H23" s="30">
        <f>SUM(H4:H22)</f>
        <v>0</v>
      </c>
      <c r="I23" s="339"/>
      <c r="J23" s="458"/>
      <c r="K23" s="30">
        <f>SUM(K4:K22)</f>
        <v>13249858.970000001</v>
      </c>
      <c r="L23" s="459"/>
      <c r="M23" s="29">
        <f>SUM(M4:M22)</f>
        <v>0</v>
      </c>
      <c r="N23" s="29">
        <f>SUM(N4:N22)</f>
        <v>0</v>
      </c>
      <c r="O23" s="108">
        <f>SUM(O4:O22)</f>
        <v>13307440.970000001</v>
      </c>
    </row>
    <row r="24" spans="1:15" ht="12.75" customHeight="1" x14ac:dyDescent="0.25">
      <c r="A24" s="31" t="str">
        <f>head27a</f>
        <v>References</v>
      </c>
      <c r="C24" s="35"/>
      <c r="D24" s="34"/>
      <c r="E24" s="35"/>
      <c r="F24" s="35"/>
      <c r="G24" s="35"/>
      <c r="H24" s="35"/>
      <c r="I24" s="35"/>
    </row>
    <row r="25" spans="1:15" ht="11.25" customHeight="1" x14ac:dyDescent="0.25">
      <c r="A25" s="41" t="s">
        <v>1042</v>
      </c>
    </row>
    <row r="26" spans="1:15" ht="11.25" customHeight="1" x14ac:dyDescent="0.25">
      <c r="A26" s="41" t="s">
        <v>1043</v>
      </c>
    </row>
    <row r="27" spans="1:15" ht="11.25" customHeight="1" x14ac:dyDescent="0.25">
      <c r="A27" s="41" t="s">
        <v>1044</v>
      </c>
    </row>
    <row r="29" spans="1:15" ht="11.25" customHeight="1" x14ac:dyDescent="0.25"/>
    <row r="30" spans="1:15" ht="11.25" customHeight="1" x14ac:dyDescent="0.25"/>
    <row r="31" spans="1:15" ht="11.25" customHeight="1" x14ac:dyDescent="0.25"/>
    <row r="32" spans="1:15"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sheetData>
  <sheetProtection sheet="1" objects="1" scenarios="1"/>
  <mergeCells count="2">
    <mergeCell ref="J2:J3"/>
    <mergeCell ref="K3:O3"/>
  </mergeCells>
  <phoneticPr fontId="2" type="noConversion"/>
  <printOptions horizontalCentered="1"/>
  <pageMargins left="0.35" right="0.17" top="0.78" bottom="0.62" header="0.51181102362204722" footer="0.39"/>
  <pageSetup paperSize="9" scale="8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4">
    <tabColor rgb="FFCCFFCC"/>
    <pageSetUpPr fitToPage="1"/>
  </sheetPr>
  <dimension ref="A1:M145"/>
  <sheetViews>
    <sheetView showGridLines="0" zoomScaleNormal="100" workbookViewId="0">
      <pane xSplit="2" ySplit="5" topLeftCell="C29" activePane="bottomRight" state="frozen"/>
      <selection activeCell="A23" sqref="A23"/>
      <selection pane="topRight" activeCell="A23" sqref="A23"/>
      <selection pane="bottomLeft" activeCell="A23" sqref="A23"/>
      <selection pane="bottomRight" activeCell="I56" sqref="I56"/>
    </sheetView>
  </sheetViews>
  <sheetFormatPr defaultColWidth="9.140625" defaultRowHeight="12.75" x14ac:dyDescent="0.25"/>
  <cols>
    <col min="1" max="1" width="37.7109375" style="17" customWidth="1"/>
    <col min="2" max="2" width="3.140625" style="32" customWidth="1"/>
    <col min="3" max="11" width="8.7109375" style="17" customWidth="1"/>
    <col min="12" max="12" width="29.42578125" style="17" bestFit="1" customWidth="1"/>
    <col min="13" max="13" width="9.5703125" style="17" customWidth="1"/>
    <col min="14" max="14" width="9.85546875" style="17" customWidth="1"/>
    <col min="15" max="17" width="9.5703125" style="17" customWidth="1"/>
    <col min="18" max="19" width="9.85546875" style="17" customWidth="1"/>
    <col min="20" max="16384" width="9.140625" style="17"/>
  </cols>
  <sheetData>
    <row r="1" spans="1:11" ht="13.5" x14ac:dyDescent="0.25">
      <c r="A1" s="88" t="str">
        <f>MEB5a</f>
        <v>Harry Gwala Development Agency (Pty) Ltd - Supporting Table SD4 Board member allowances and staff benefits</v>
      </c>
    </row>
    <row r="2" spans="1:11" ht="25.5" x14ac:dyDescent="0.25">
      <c r="A2" s="547" t="s">
        <v>330</v>
      </c>
      <c r="B2" s="535" t="str">
        <f>head27</f>
        <v>Ref</v>
      </c>
      <c r="C2" s="85" t="str">
        <f>head1b</f>
        <v>2015/16</v>
      </c>
      <c r="D2" s="18" t="str">
        <f>head1A</f>
        <v>2016/17</v>
      </c>
      <c r="E2" s="80" t="str">
        <f>Head1</f>
        <v>2017/18</v>
      </c>
      <c r="F2" s="106" t="str">
        <f>Head2</f>
        <v>Current Year 2018/19</v>
      </c>
      <c r="G2" s="104"/>
      <c r="H2" s="105"/>
      <c r="I2" s="106" t="str">
        <f>Head3a</f>
        <v>Medium Term Revenue and Expenditure Framework</v>
      </c>
      <c r="J2" s="104"/>
      <c r="K2" s="105"/>
    </row>
    <row r="3" spans="1:11" x14ac:dyDescent="0.25">
      <c r="A3" s="548"/>
      <c r="B3" s="536"/>
      <c r="C3" s="531" t="str">
        <f>Head5</f>
        <v>Audited Outcome</v>
      </c>
      <c r="D3" s="533" t="str">
        <f>Head5</f>
        <v>Audited Outcome</v>
      </c>
      <c r="E3" s="527" t="str">
        <f>Head5</f>
        <v>Audited Outcome</v>
      </c>
      <c r="F3" s="529" t="str">
        <f>Head6</f>
        <v>Original Budget</v>
      </c>
      <c r="G3" s="525" t="str">
        <f>Head7</f>
        <v>Adjusted Budget</v>
      </c>
      <c r="H3" s="527" t="str">
        <f>Head8</f>
        <v>Full Year Forecast</v>
      </c>
      <c r="I3" s="529" t="str">
        <f>Head9</f>
        <v>Budget Year 2019/20</v>
      </c>
      <c r="J3" s="525" t="str">
        <f>Head10</f>
        <v>Budget Year +1 2020/21</v>
      </c>
      <c r="K3" s="527" t="str">
        <f>Head11</f>
        <v>Budget Year +2 2021/22</v>
      </c>
    </row>
    <row r="4" spans="1:11" x14ac:dyDescent="0.25">
      <c r="A4" s="548"/>
      <c r="B4" s="536"/>
      <c r="C4" s="532"/>
      <c r="D4" s="534"/>
      <c r="E4" s="528"/>
      <c r="F4" s="530"/>
      <c r="G4" s="526"/>
      <c r="H4" s="528"/>
      <c r="I4" s="549"/>
      <c r="J4" s="526"/>
      <c r="K4" s="528"/>
    </row>
    <row r="5" spans="1:11" x14ac:dyDescent="0.25">
      <c r="A5" s="121" t="s">
        <v>186</v>
      </c>
      <c r="B5" s="111"/>
      <c r="C5" s="140" t="s">
        <v>114</v>
      </c>
      <c r="D5" s="141" t="s">
        <v>75</v>
      </c>
      <c r="E5" s="142" t="s">
        <v>36</v>
      </c>
      <c r="F5" s="140" t="s">
        <v>131</v>
      </c>
      <c r="G5" s="141" t="s">
        <v>14</v>
      </c>
      <c r="H5" s="142" t="s">
        <v>15</v>
      </c>
      <c r="I5" s="140" t="s">
        <v>16</v>
      </c>
      <c r="J5" s="141" t="s">
        <v>134</v>
      </c>
      <c r="K5" s="142" t="s">
        <v>135</v>
      </c>
    </row>
    <row r="6" spans="1:11" ht="12.75" customHeight="1" x14ac:dyDescent="0.25">
      <c r="A6" s="19" t="s">
        <v>190</v>
      </c>
      <c r="B6" s="90"/>
      <c r="C6" s="24"/>
      <c r="D6" s="23"/>
      <c r="E6" s="83"/>
      <c r="F6" s="24"/>
      <c r="G6" s="23"/>
      <c r="H6" s="83"/>
      <c r="I6" s="24"/>
      <c r="J6" s="23"/>
      <c r="K6" s="83"/>
    </row>
    <row r="7" spans="1:11" ht="12.75" customHeight="1" x14ac:dyDescent="0.25">
      <c r="A7" s="45" t="s">
        <v>93</v>
      </c>
      <c r="B7" s="90"/>
      <c r="C7" s="24"/>
      <c r="D7" s="23"/>
      <c r="E7" s="83"/>
      <c r="F7" s="24"/>
      <c r="G7" s="23"/>
      <c r="H7" s="83"/>
      <c r="I7" s="24"/>
      <c r="J7" s="23"/>
      <c r="K7" s="83"/>
    </row>
    <row r="8" spans="1:11" ht="12.75" customHeight="1" x14ac:dyDescent="0.25">
      <c r="A8" s="20" t="s">
        <v>825</v>
      </c>
      <c r="B8" s="90"/>
      <c r="C8" s="168">
        <v>427109</v>
      </c>
      <c r="D8" s="166">
        <v>231701</v>
      </c>
      <c r="E8" s="167">
        <v>220922</v>
      </c>
      <c r="F8" s="168">
        <v>300000</v>
      </c>
      <c r="G8" s="166">
        <v>300000</v>
      </c>
      <c r="H8" s="167">
        <f>G8</f>
        <v>300000</v>
      </c>
      <c r="I8" s="168">
        <v>300000</v>
      </c>
      <c r="J8" s="166">
        <f>I8*1.05</f>
        <v>315000</v>
      </c>
      <c r="K8" s="166">
        <f>J8*1.05</f>
        <v>330750</v>
      </c>
    </row>
    <row r="9" spans="1:11" ht="12.75" customHeight="1" x14ac:dyDescent="0.25">
      <c r="A9" s="20" t="s">
        <v>821</v>
      </c>
      <c r="B9" s="90"/>
      <c r="C9" s="168"/>
      <c r="D9" s="166"/>
      <c r="E9" s="167"/>
      <c r="F9" s="168"/>
      <c r="G9" s="166"/>
      <c r="H9" s="167"/>
      <c r="I9" s="168"/>
      <c r="J9" s="166"/>
      <c r="K9" s="167"/>
    </row>
    <row r="10" spans="1:11" ht="12.75" customHeight="1" x14ac:dyDescent="0.25">
      <c r="A10" s="20" t="s">
        <v>0</v>
      </c>
      <c r="B10" s="90"/>
      <c r="C10" s="168"/>
      <c r="D10" s="166"/>
      <c r="E10" s="167"/>
      <c r="F10" s="168"/>
      <c r="G10" s="166"/>
      <c r="H10" s="167"/>
      <c r="I10" s="168"/>
      <c r="J10" s="166"/>
      <c r="K10" s="167"/>
    </row>
    <row r="11" spans="1:11" ht="12.75" customHeight="1" x14ac:dyDescent="0.25">
      <c r="A11" s="20" t="s">
        <v>79</v>
      </c>
      <c r="B11" s="90"/>
      <c r="C11" s="168"/>
      <c r="D11" s="166"/>
      <c r="E11" s="167"/>
      <c r="F11" s="168"/>
      <c r="G11" s="166"/>
      <c r="H11" s="167"/>
      <c r="I11" s="168"/>
      <c r="J11" s="166"/>
      <c r="K11" s="167"/>
    </row>
    <row r="12" spans="1:11" ht="12.75" customHeight="1" x14ac:dyDescent="0.25">
      <c r="A12" s="20" t="s">
        <v>1</v>
      </c>
      <c r="B12" s="90"/>
      <c r="C12" s="168"/>
      <c r="D12" s="166"/>
      <c r="E12" s="167"/>
      <c r="F12" s="168"/>
      <c r="G12" s="166"/>
      <c r="H12" s="167"/>
      <c r="I12" s="168"/>
      <c r="J12" s="166"/>
      <c r="K12" s="167"/>
    </row>
    <row r="13" spans="1:11" ht="12.75" customHeight="1" x14ac:dyDescent="0.25">
      <c r="A13" s="20" t="s">
        <v>836</v>
      </c>
      <c r="B13" s="90"/>
      <c r="C13" s="168"/>
      <c r="D13" s="166"/>
      <c r="E13" s="167"/>
      <c r="F13" s="168"/>
      <c r="G13" s="166"/>
      <c r="H13" s="167"/>
      <c r="I13" s="168"/>
      <c r="J13" s="166"/>
      <c r="K13" s="167"/>
    </row>
    <row r="14" spans="1:11" ht="12.75" customHeight="1" x14ac:dyDescent="0.25">
      <c r="A14" s="20" t="s">
        <v>837</v>
      </c>
      <c r="B14" s="90"/>
      <c r="C14" s="168"/>
      <c r="D14" s="166"/>
      <c r="E14" s="167"/>
      <c r="F14" s="168"/>
      <c r="G14" s="166"/>
      <c r="H14" s="167"/>
      <c r="I14" s="168"/>
      <c r="J14" s="166"/>
      <c r="K14" s="167"/>
    </row>
    <row r="15" spans="1:11" ht="12.75" customHeight="1" x14ac:dyDescent="0.25">
      <c r="A15" s="20" t="s">
        <v>838</v>
      </c>
      <c r="B15" s="90"/>
      <c r="C15" s="168"/>
      <c r="D15" s="166"/>
      <c r="E15" s="167"/>
      <c r="F15" s="168"/>
      <c r="G15" s="166"/>
      <c r="H15" s="167"/>
      <c r="I15" s="168"/>
      <c r="J15" s="166"/>
      <c r="K15" s="167"/>
    </row>
    <row r="16" spans="1:11" ht="12.75" customHeight="1" x14ac:dyDescent="0.25">
      <c r="A16" s="20" t="s">
        <v>530</v>
      </c>
      <c r="B16" s="90"/>
      <c r="C16" s="168">
        <v>74962</v>
      </c>
      <c r="D16" s="166">
        <v>89404</v>
      </c>
      <c r="E16" s="167">
        <v>58584</v>
      </c>
      <c r="F16" s="168">
        <v>50000</v>
      </c>
      <c r="G16" s="166">
        <v>100000</v>
      </c>
      <c r="H16" s="167">
        <f>G16</f>
        <v>100000</v>
      </c>
      <c r="I16" s="168">
        <v>100000</v>
      </c>
      <c r="J16" s="166">
        <f>I16*1.05</f>
        <v>105000</v>
      </c>
      <c r="K16" s="166">
        <f>J16*1.05</f>
        <v>110250</v>
      </c>
    </row>
    <row r="17" spans="1:11" ht="12.75" customHeight="1" x14ac:dyDescent="0.25">
      <c r="A17" s="20" t="s">
        <v>94</v>
      </c>
      <c r="B17" s="90"/>
      <c r="C17" s="168"/>
      <c r="D17" s="166"/>
      <c r="E17" s="167"/>
      <c r="F17" s="168"/>
      <c r="G17" s="166"/>
      <c r="H17" s="167"/>
      <c r="I17" s="168"/>
      <c r="J17" s="166"/>
      <c r="K17" s="167"/>
    </row>
    <row r="18" spans="1:11" ht="12.75" customHeight="1" x14ac:dyDescent="0.25">
      <c r="A18" s="20" t="s">
        <v>822</v>
      </c>
      <c r="B18" s="90"/>
      <c r="C18" s="168"/>
      <c r="D18" s="166"/>
      <c r="E18" s="167"/>
      <c r="F18" s="168"/>
      <c r="G18" s="166"/>
      <c r="H18" s="167"/>
      <c r="I18" s="168"/>
      <c r="J18" s="166"/>
      <c r="K18" s="167"/>
    </row>
    <row r="19" spans="1:11" ht="12.75" customHeight="1" x14ac:dyDescent="0.25">
      <c r="A19" s="20" t="s">
        <v>823</v>
      </c>
      <c r="B19" s="90">
        <v>1</v>
      </c>
      <c r="C19" s="168"/>
      <c r="D19" s="166"/>
      <c r="E19" s="167"/>
      <c r="F19" s="168"/>
      <c r="G19" s="166"/>
      <c r="H19" s="167"/>
      <c r="I19" s="168"/>
      <c r="J19" s="166"/>
      <c r="K19" s="167"/>
    </row>
    <row r="20" spans="1:11" ht="12.75" customHeight="1" x14ac:dyDescent="0.25">
      <c r="A20" s="20" t="s">
        <v>824</v>
      </c>
      <c r="B20" s="90"/>
      <c r="C20" s="168"/>
      <c r="D20" s="166"/>
      <c r="E20" s="167"/>
      <c r="F20" s="168"/>
      <c r="G20" s="166"/>
      <c r="H20" s="167"/>
      <c r="I20" s="168"/>
      <c r="J20" s="166"/>
      <c r="K20" s="167"/>
    </row>
    <row r="21" spans="1:11" ht="12.75" customHeight="1" x14ac:dyDescent="0.25">
      <c r="A21" s="45" t="s">
        <v>267</v>
      </c>
      <c r="B21" s="90"/>
      <c r="C21" s="39">
        <f>SUM(C8:C20)</f>
        <v>502071</v>
      </c>
      <c r="D21" s="38">
        <f>SUM(D8:D20)</f>
        <v>321105</v>
      </c>
      <c r="E21" s="120">
        <f t="shared" ref="E21:K21" si="0">SUM(E8:E20)</f>
        <v>279506</v>
      </c>
      <c r="F21" s="39">
        <f t="shared" si="0"/>
        <v>350000</v>
      </c>
      <c r="G21" s="38">
        <f t="shared" si="0"/>
        <v>400000</v>
      </c>
      <c r="H21" s="84">
        <f t="shared" si="0"/>
        <v>400000</v>
      </c>
      <c r="I21" s="113">
        <f t="shared" si="0"/>
        <v>400000</v>
      </c>
      <c r="J21" s="38">
        <f t="shared" si="0"/>
        <v>420000</v>
      </c>
      <c r="K21" s="84">
        <f t="shared" si="0"/>
        <v>441000</v>
      </c>
    </row>
    <row r="22" spans="1:11" ht="12.75" customHeight="1" x14ac:dyDescent="0.25">
      <c r="A22" s="45" t="s">
        <v>234</v>
      </c>
      <c r="B22" s="90"/>
      <c r="C22" s="24"/>
      <c r="D22" s="26">
        <f>IF(D21=0,"",(D21/C21)-1)</f>
        <v>-0.36043906140764947</v>
      </c>
      <c r="E22" s="51">
        <f>IF(E21=0,"",(E21/D21)-1)</f>
        <v>-0.12954952429890532</v>
      </c>
      <c r="F22" s="27">
        <f>IF(F21=0,"",(F21/E21)-1)</f>
        <v>0.25220925489971591</v>
      </c>
      <c r="G22" s="26">
        <f>IF(G21=0,"",(G21/E21)-1)</f>
        <v>0.4310962913139611</v>
      </c>
      <c r="H22" s="99">
        <f>IF(H21=0,"",(H21/E21)-1)</f>
        <v>0.4310962913139611</v>
      </c>
      <c r="I22" s="112">
        <f>IF(I21=0,"",(I21/H21)-1)</f>
        <v>0</v>
      </c>
      <c r="J22" s="51">
        <f>IF(J21=0,"",(J21/I21)-1)</f>
        <v>5.0000000000000044E-2</v>
      </c>
      <c r="K22" s="124">
        <f>IF(K21=0,"",(K21/J21)-1)</f>
        <v>5.0000000000000044E-2</v>
      </c>
    </row>
    <row r="23" spans="1:11" ht="5.0999999999999996" customHeight="1" x14ac:dyDescent="0.25">
      <c r="A23" s="21"/>
      <c r="B23" s="90"/>
      <c r="C23" s="24"/>
      <c r="D23" s="23"/>
      <c r="E23" s="83"/>
      <c r="F23" s="24"/>
      <c r="G23" s="23"/>
      <c r="H23" s="83"/>
      <c r="I23" s="24"/>
      <c r="J23" s="23"/>
      <c r="K23" s="83"/>
    </row>
    <row r="24" spans="1:11" ht="12.75" customHeight="1" x14ac:dyDescent="0.25">
      <c r="A24" s="45" t="s">
        <v>304</v>
      </c>
      <c r="B24" s="90"/>
      <c r="C24" s="24"/>
      <c r="D24" s="23"/>
      <c r="E24" s="83"/>
      <c r="F24" s="24"/>
      <c r="G24" s="23"/>
      <c r="H24" s="83"/>
      <c r="I24" s="24"/>
      <c r="J24" s="23"/>
      <c r="K24" s="83"/>
    </row>
    <row r="25" spans="1:11" ht="12.75" customHeight="1" x14ac:dyDescent="0.25">
      <c r="A25" s="20" t="s">
        <v>825</v>
      </c>
      <c r="B25" s="90"/>
      <c r="C25" s="168">
        <v>1740675</v>
      </c>
      <c r="D25" s="166">
        <f>1417030+1048650</f>
        <v>2465680</v>
      </c>
      <c r="E25" s="167">
        <v>3122019</v>
      </c>
      <c r="F25" s="168">
        <v>2367965.64</v>
      </c>
      <c r="G25" s="166">
        <v>1388912.1299999994</v>
      </c>
      <c r="H25" s="167">
        <f>G25</f>
        <v>1388912.1299999994</v>
      </c>
      <c r="I25" s="168">
        <v>1600000</v>
      </c>
      <c r="J25" s="166">
        <f>I25*1.05</f>
        <v>1680000</v>
      </c>
      <c r="K25" s="166">
        <f>J25*1.05</f>
        <v>1764000</v>
      </c>
    </row>
    <row r="26" spans="1:11" ht="12.75" customHeight="1" x14ac:dyDescent="0.25">
      <c r="A26" s="20" t="s">
        <v>821</v>
      </c>
      <c r="B26" s="90"/>
      <c r="C26" s="168"/>
      <c r="D26" s="166"/>
      <c r="E26" s="167"/>
      <c r="F26" s="168"/>
      <c r="G26" s="166"/>
      <c r="H26" s="167"/>
      <c r="I26" s="168"/>
      <c r="J26" s="166"/>
      <c r="K26" s="167"/>
    </row>
    <row r="27" spans="1:11" ht="12.75" customHeight="1" x14ac:dyDescent="0.25">
      <c r="A27" s="20" t="s">
        <v>0</v>
      </c>
      <c r="B27" s="90"/>
      <c r="C27" s="168"/>
      <c r="D27" s="166"/>
      <c r="E27" s="167"/>
      <c r="F27" s="168"/>
      <c r="G27" s="166"/>
      <c r="H27" s="167"/>
      <c r="I27" s="168"/>
      <c r="J27" s="166"/>
      <c r="K27" s="167"/>
    </row>
    <row r="28" spans="1:11" ht="12.75" customHeight="1" x14ac:dyDescent="0.25">
      <c r="A28" s="20" t="s">
        <v>79</v>
      </c>
      <c r="B28" s="90"/>
      <c r="C28" s="168"/>
      <c r="D28" s="166"/>
      <c r="E28" s="167"/>
      <c r="F28" s="168"/>
      <c r="G28" s="166"/>
      <c r="H28" s="167"/>
      <c r="I28" s="168"/>
      <c r="J28" s="166"/>
      <c r="K28" s="167"/>
    </row>
    <row r="29" spans="1:11" ht="12.75" customHeight="1" x14ac:dyDescent="0.25">
      <c r="A29" s="20" t="s">
        <v>1</v>
      </c>
      <c r="B29" s="90"/>
      <c r="C29" s="168"/>
      <c r="D29" s="166"/>
      <c r="E29" s="167"/>
      <c r="F29" s="168"/>
      <c r="G29" s="166"/>
      <c r="H29" s="167"/>
      <c r="I29" s="168"/>
      <c r="J29" s="166"/>
      <c r="K29" s="167"/>
    </row>
    <row r="30" spans="1:11" ht="12.75" customHeight="1" x14ac:dyDescent="0.25">
      <c r="A30" s="20" t="s">
        <v>836</v>
      </c>
      <c r="B30" s="90"/>
      <c r="C30" s="168"/>
      <c r="D30" s="166"/>
      <c r="E30" s="167"/>
      <c r="F30" s="168"/>
      <c r="G30" s="166"/>
      <c r="H30" s="167"/>
      <c r="I30" s="168"/>
      <c r="J30" s="166"/>
      <c r="K30" s="167"/>
    </row>
    <row r="31" spans="1:11" ht="12.75" customHeight="1" x14ac:dyDescent="0.25">
      <c r="A31" s="20" t="s">
        <v>837</v>
      </c>
      <c r="B31" s="90"/>
      <c r="C31" s="168"/>
      <c r="D31" s="166"/>
      <c r="E31" s="167"/>
      <c r="F31" s="168"/>
      <c r="G31" s="166"/>
      <c r="H31" s="167"/>
      <c r="I31" s="168"/>
      <c r="J31" s="166"/>
      <c r="K31" s="167"/>
    </row>
    <row r="32" spans="1:11" ht="12.75" customHeight="1" x14ac:dyDescent="0.25">
      <c r="A32" s="20" t="s">
        <v>838</v>
      </c>
      <c r="B32" s="90"/>
      <c r="C32" s="168"/>
      <c r="D32" s="166"/>
      <c r="E32" s="167"/>
      <c r="F32" s="168"/>
      <c r="G32" s="166"/>
      <c r="H32" s="167"/>
      <c r="I32" s="168"/>
      <c r="J32" s="166"/>
      <c r="K32" s="167"/>
    </row>
    <row r="33" spans="1:11" ht="12.75" customHeight="1" x14ac:dyDescent="0.25">
      <c r="A33" s="20" t="s">
        <v>530</v>
      </c>
      <c r="B33" s="90"/>
      <c r="C33" s="168"/>
      <c r="D33" s="166"/>
      <c r="E33" s="167"/>
      <c r="F33" s="168"/>
      <c r="G33" s="166"/>
      <c r="H33" s="167"/>
      <c r="I33" s="168"/>
      <c r="J33" s="166"/>
      <c r="K33" s="167"/>
    </row>
    <row r="34" spans="1:11" ht="12.75" customHeight="1" x14ac:dyDescent="0.25">
      <c r="A34" s="20" t="s">
        <v>822</v>
      </c>
      <c r="B34" s="90"/>
      <c r="C34" s="168"/>
      <c r="D34" s="166"/>
      <c r="E34" s="167"/>
      <c r="F34" s="168"/>
      <c r="G34" s="166"/>
      <c r="H34" s="167"/>
      <c r="I34" s="168"/>
      <c r="J34" s="166"/>
      <c r="K34" s="167"/>
    </row>
    <row r="35" spans="1:11" ht="12.75" customHeight="1" x14ac:dyDescent="0.25">
      <c r="A35" s="20" t="s">
        <v>823</v>
      </c>
      <c r="B35" s="90"/>
      <c r="C35" s="168"/>
      <c r="D35" s="166"/>
      <c r="E35" s="167"/>
      <c r="F35" s="168"/>
      <c r="G35" s="166"/>
      <c r="H35" s="167"/>
      <c r="I35" s="168"/>
      <c r="J35" s="166"/>
      <c r="K35" s="167"/>
    </row>
    <row r="36" spans="1:11" ht="12.75" customHeight="1" x14ac:dyDescent="0.25">
      <c r="A36" s="20" t="s">
        <v>824</v>
      </c>
      <c r="B36" s="90">
        <v>1</v>
      </c>
      <c r="C36" s="168"/>
      <c r="D36" s="166"/>
      <c r="E36" s="167"/>
      <c r="F36" s="168"/>
      <c r="G36" s="166"/>
      <c r="H36" s="167"/>
      <c r="I36" s="168"/>
      <c r="J36" s="166"/>
      <c r="K36" s="167"/>
    </row>
    <row r="37" spans="1:11" ht="12.75" customHeight="1" x14ac:dyDescent="0.25">
      <c r="A37" s="45" t="s">
        <v>305</v>
      </c>
      <c r="B37" s="90"/>
      <c r="C37" s="39">
        <f>SUM(C25:C36)</f>
        <v>1740675</v>
      </c>
      <c r="D37" s="38">
        <f t="shared" ref="D37:K37" si="1">SUM(D25:D36)</f>
        <v>2465680</v>
      </c>
      <c r="E37" s="120">
        <f t="shared" si="1"/>
        <v>3122019</v>
      </c>
      <c r="F37" s="39">
        <f t="shared" si="1"/>
        <v>2367965.64</v>
      </c>
      <c r="G37" s="38">
        <f t="shared" si="1"/>
        <v>1388912.1299999994</v>
      </c>
      <c r="H37" s="84">
        <f t="shared" si="1"/>
        <v>1388912.1299999994</v>
      </c>
      <c r="I37" s="113">
        <f t="shared" si="1"/>
        <v>1600000</v>
      </c>
      <c r="J37" s="38">
        <f t="shared" si="1"/>
        <v>1680000</v>
      </c>
      <c r="K37" s="84">
        <f t="shared" si="1"/>
        <v>1764000</v>
      </c>
    </row>
    <row r="38" spans="1:11" ht="12.75" customHeight="1" x14ac:dyDescent="0.25">
      <c r="A38" s="45" t="s">
        <v>234</v>
      </c>
      <c r="B38" s="90"/>
      <c r="C38" s="24"/>
      <c r="D38" s="26">
        <f>IF(D37=0,"",(D37/C37)-1)</f>
        <v>0.41650796386459277</v>
      </c>
      <c r="E38" s="51">
        <f>IF(E37=0,"",(E37/D37)-1)</f>
        <v>0.26618985432010644</v>
      </c>
      <c r="F38" s="27">
        <f>IF(F37=0,"",(F37/E37)-1)</f>
        <v>-0.24152747308712719</v>
      </c>
      <c r="G38" s="26">
        <f>IF(G37=0,"",(G37/E37)-1)</f>
        <v>-0.55512374204000703</v>
      </c>
      <c r="H38" s="99">
        <f>IF(H37=0,"",(H37/E37)-1)</f>
        <v>-0.55512374204000703</v>
      </c>
      <c r="I38" s="112">
        <f>IF(I37=0,"",(I37/H37)-1)</f>
        <v>0.15198072321537048</v>
      </c>
      <c r="J38" s="51">
        <f>IF(J37=0,"",(J37/I37)-1)</f>
        <v>5.0000000000000044E-2</v>
      </c>
      <c r="K38" s="124">
        <f>IF(K37=0,"",(K37/J37)-1)</f>
        <v>5.0000000000000044E-2</v>
      </c>
    </row>
    <row r="39" spans="1:11" ht="5.0999999999999996" customHeight="1" x14ac:dyDescent="0.25">
      <c r="B39" s="90"/>
      <c r="C39" s="24"/>
      <c r="D39" s="23"/>
      <c r="E39" s="83"/>
      <c r="F39" s="24"/>
      <c r="G39" s="23"/>
      <c r="H39" s="83"/>
      <c r="I39" s="24"/>
      <c r="J39" s="23"/>
      <c r="K39" s="83"/>
    </row>
    <row r="40" spans="1:11" ht="12.75" customHeight="1" x14ac:dyDescent="0.25">
      <c r="A40" s="45" t="s">
        <v>230</v>
      </c>
      <c r="B40" s="90"/>
      <c r="C40" s="24"/>
      <c r="D40" s="23"/>
      <c r="E40" s="83"/>
      <c r="F40" s="24"/>
      <c r="G40" s="23"/>
      <c r="H40" s="83"/>
      <c r="I40" s="24"/>
      <c r="J40" s="23"/>
      <c r="K40" s="83"/>
    </row>
    <row r="41" spans="1:11" ht="12.75" customHeight="1" x14ac:dyDescent="0.25">
      <c r="A41" s="20" t="s">
        <v>825</v>
      </c>
      <c r="B41" s="90"/>
      <c r="C41" s="168">
        <v>6440720</v>
      </c>
      <c r="D41" s="166">
        <v>4928012</v>
      </c>
      <c r="E41" s="167">
        <v>5658024</v>
      </c>
      <c r="F41" s="168">
        <v>1476912.13</v>
      </c>
      <c r="G41" s="166">
        <v>3510455</v>
      </c>
      <c r="H41" s="167">
        <f>G41</f>
        <v>3510455</v>
      </c>
      <c r="I41" s="168">
        <v>3901500</v>
      </c>
      <c r="J41" s="166">
        <f t="shared" ref="J41:K43" si="2">I41*1.05</f>
        <v>4096575</v>
      </c>
      <c r="K41" s="166">
        <f t="shared" si="2"/>
        <v>4301403.75</v>
      </c>
    </row>
    <row r="42" spans="1:11" ht="12.75" customHeight="1" x14ac:dyDescent="0.25">
      <c r="A42" s="20" t="s">
        <v>821</v>
      </c>
      <c r="B42" s="90"/>
      <c r="C42" s="168"/>
      <c r="D42" s="166"/>
      <c r="E42" s="167"/>
      <c r="F42" s="168">
        <v>1144831.08</v>
      </c>
      <c r="G42" s="166">
        <v>1184831.08</v>
      </c>
      <c r="H42" s="167">
        <f t="shared" ref="H42:H43" si="3">G42</f>
        <v>1184831.08</v>
      </c>
      <c r="I42" s="168">
        <v>1580000</v>
      </c>
      <c r="J42" s="166">
        <f t="shared" si="2"/>
        <v>1659000</v>
      </c>
      <c r="K42" s="166">
        <f t="shared" si="2"/>
        <v>1741950</v>
      </c>
    </row>
    <row r="43" spans="1:11" ht="12.75" customHeight="1" x14ac:dyDescent="0.25">
      <c r="A43" s="20" t="s">
        <v>0</v>
      </c>
      <c r="B43" s="90"/>
      <c r="C43" s="168"/>
      <c r="D43" s="166"/>
      <c r="E43" s="167"/>
      <c r="F43" s="168">
        <v>440000</v>
      </c>
      <c r="G43" s="166">
        <v>440000</v>
      </c>
      <c r="H43" s="167">
        <f t="shared" si="3"/>
        <v>440000</v>
      </c>
      <c r="I43" s="168">
        <v>500000</v>
      </c>
      <c r="J43" s="166">
        <f t="shared" si="2"/>
        <v>525000</v>
      </c>
      <c r="K43" s="166">
        <f t="shared" si="2"/>
        <v>551250</v>
      </c>
    </row>
    <row r="44" spans="1:11" ht="12.75" customHeight="1" x14ac:dyDescent="0.25">
      <c r="A44" s="20" t="s">
        <v>79</v>
      </c>
      <c r="B44" s="90"/>
      <c r="C44" s="168"/>
      <c r="D44" s="166"/>
      <c r="E44" s="167"/>
      <c r="F44" s="168"/>
      <c r="G44" s="166"/>
      <c r="H44" s="167"/>
      <c r="I44" s="168"/>
      <c r="J44" s="166"/>
      <c r="K44" s="167"/>
    </row>
    <row r="45" spans="1:11" ht="12.75" customHeight="1" x14ac:dyDescent="0.25">
      <c r="A45" s="20" t="s">
        <v>1</v>
      </c>
      <c r="B45" s="90"/>
      <c r="C45" s="168"/>
      <c r="D45" s="166"/>
      <c r="E45" s="167"/>
      <c r="F45" s="168"/>
      <c r="G45" s="166"/>
      <c r="H45" s="167"/>
      <c r="I45" s="168"/>
      <c r="J45" s="166"/>
      <c r="K45" s="167"/>
    </row>
    <row r="46" spans="1:11" ht="12.75" customHeight="1" x14ac:dyDescent="0.25">
      <c r="A46" s="20" t="s">
        <v>836</v>
      </c>
      <c r="B46" s="90"/>
      <c r="C46" s="168"/>
      <c r="D46" s="166"/>
      <c r="E46" s="167"/>
      <c r="F46" s="168"/>
      <c r="G46" s="166"/>
      <c r="H46" s="167"/>
      <c r="I46" s="168"/>
      <c r="J46" s="166"/>
      <c r="K46" s="167"/>
    </row>
    <row r="47" spans="1:11" ht="12.75" customHeight="1" x14ac:dyDescent="0.25">
      <c r="A47" s="20" t="s">
        <v>837</v>
      </c>
      <c r="B47" s="90"/>
      <c r="C47" s="168"/>
      <c r="D47" s="166"/>
      <c r="E47" s="167"/>
      <c r="F47" s="168"/>
      <c r="G47" s="166"/>
      <c r="H47" s="167"/>
      <c r="I47" s="168"/>
      <c r="J47" s="166"/>
      <c r="K47" s="167"/>
    </row>
    <row r="48" spans="1:11" ht="12.75" customHeight="1" x14ac:dyDescent="0.25">
      <c r="A48" s="20" t="s">
        <v>838</v>
      </c>
      <c r="B48" s="90"/>
      <c r="C48" s="168"/>
      <c r="D48" s="166"/>
      <c r="E48" s="167"/>
      <c r="F48" s="168"/>
      <c r="G48" s="166"/>
      <c r="H48" s="167"/>
      <c r="I48" s="168"/>
      <c r="J48" s="166"/>
      <c r="K48" s="167"/>
    </row>
    <row r="49" spans="1:11" ht="12.75" customHeight="1" x14ac:dyDescent="0.25">
      <c r="A49" s="20" t="s">
        <v>530</v>
      </c>
      <c r="B49" s="90"/>
      <c r="C49" s="168"/>
      <c r="D49" s="166"/>
      <c r="E49" s="167"/>
      <c r="F49" s="168"/>
      <c r="G49" s="166"/>
      <c r="H49" s="167"/>
      <c r="I49" s="168"/>
      <c r="J49" s="166"/>
      <c r="K49" s="167"/>
    </row>
    <row r="50" spans="1:11" ht="12.75" customHeight="1" x14ac:dyDescent="0.25">
      <c r="A50" s="20" t="s">
        <v>822</v>
      </c>
      <c r="B50" s="90"/>
      <c r="C50" s="168"/>
      <c r="D50" s="166"/>
      <c r="E50" s="167"/>
      <c r="F50" s="168">
        <v>0</v>
      </c>
      <c r="G50" s="166">
        <v>0</v>
      </c>
      <c r="H50" s="167">
        <f t="shared" ref="H50" si="4">G50</f>
        <v>0</v>
      </c>
      <c r="I50" s="168">
        <v>50000</v>
      </c>
      <c r="J50" s="166">
        <f>I50*1.05</f>
        <v>52500</v>
      </c>
      <c r="K50" s="166">
        <f>J50*1.05</f>
        <v>55125</v>
      </c>
    </row>
    <row r="51" spans="1:11" ht="12.75" customHeight="1" x14ac:dyDescent="0.25">
      <c r="A51" s="20" t="s">
        <v>823</v>
      </c>
      <c r="B51" s="90"/>
      <c r="C51" s="168"/>
      <c r="D51" s="166"/>
      <c r="E51" s="167"/>
      <c r="F51" s="168"/>
      <c r="G51" s="166"/>
      <c r="H51" s="167"/>
      <c r="I51" s="168"/>
      <c r="J51" s="166"/>
      <c r="K51" s="167"/>
    </row>
    <row r="52" spans="1:11" ht="12.75" customHeight="1" x14ac:dyDescent="0.25">
      <c r="A52" s="20" t="s">
        <v>824</v>
      </c>
      <c r="B52" s="90">
        <v>1</v>
      </c>
      <c r="C52" s="168"/>
      <c r="D52" s="166"/>
      <c r="E52" s="167"/>
      <c r="F52" s="168"/>
      <c r="G52" s="166"/>
      <c r="H52" s="167"/>
      <c r="I52" s="168"/>
      <c r="J52" s="166"/>
      <c r="K52" s="167"/>
    </row>
    <row r="53" spans="1:11" ht="12.75" customHeight="1" x14ac:dyDescent="0.25">
      <c r="A53" s="45" t="s">
        <v>62</v>
      </c>
      <c r="B53" s="90"/>
      <c r="C53" s="39">
        <f>SUM(C41:C52)</f>
        <v>6440720</v>
      </c>
      <c r="D53" s="38">
        <f t="shared" ref="D53:K53" si="5">SUM(D41:D52)</f>
        <v>4928012</v>
      </c>
      <c r="E53" s="120">
        <f t="shared" si="5"/>
        <v>5658024</v>
      </c>
      <c r="F53" s="39">
        <f t="shared" si="5"/>
        <v>3061743.21</v>
      </c>
      <c r="G53" s="38">
        <f t="shared" si="5"/>
        <v>5135286.08</v>
      </c>
      <c r="H53" s="84">
        <f t="shared" si="5"/>
        <v>5135286.08</v>
      </c>
      <c r="I53" s="113">
        <f t="shared" si="5"/>
        <v>6031500</v>
      </c>
      <c r="J53" s="38">
        <f t="shared" si="5"/>
        <v>6333075</v>
      </c>
      <c r="K53" s="84">
        <f t="shared" si="5"/>
        <v>6649728.75</v>
      </c>
    </row>
    <row r="54" spans="1:11" ht="12.75" customHeight="1" x14ac:dyDescent="0.25">
      <c r="A54" s="45" t="s">
        <v>234</v>
      </c>
      <c r="B54" s="90"/>
      <c r="C54" s="24"/>
      <c r="D54" s="26">
        <f>IF(D53=0,"",(D53/C53)-1)</f>
        <v>-0.23486628824106626</v>
      </c>
      <c r="E54" s="51">
        <f>IF(E53=0,"",(E53/D53)-1)</f>
        <v>0.14813519122924212</v>
      </c>
      <c r="F54" s="27">
        <f>IF(F53=0,"",(F53/E53)-1)</f>
        <v>-0.45886705146531725</v>
      </c>
      <c r="G54" s="26">
        <f>IF(G53=0,"",(G53/E53)-1)</f>
        <v>-9.2388777424768809E-2</v>
      </c>
      <c r="H54" s="99">
        <f>IF(H53=0,"",(H53/E53)-1)</f>
        <v>-9.2388777424768809E-2</v>
      </c>
      <c r="I54" s="112">
        <f>IF(I53=0,"",(I53/H53)-1)</f>
        <v>0.17452073867713325</v>
      </c>
      <c r="J54" s="51">
        <f>IF(J53=0,"",(J53/I53)-1)</f>
        <v>5.0000000000000044E-2</v>
      </c>
      <c r="K54" s="124">
        <f>IF(K53=0,"",(K53/J53)-1)</f>
        <v>5.0000000000000044E-2</v>
      </c>
    </row>
    <row r="55" spans="1:11" ht="5.0999999999999996" customHeight="1" x14ac:dyDescent="0.25">
      <c r="A55" s="21"/>
      <c r="B55" s="90"/>
      <c r="C55" s="24"/>
      <c r="D55" s="23"/>
      <c r="E55" s="83"/>
      <c r="F55" s="24"/>
      <c r="G55" s="23"/>
      <c r="H55" s="83"/>
      <c r="I55" s="24"/>
      <c r="J55" s="23"/>
      <c r="K55" s="83"/>
    </row>
    <row r="56" spans="1:11" ht="12.75" customHeight="1" x14ac:dyDescent="0.25">
      <c r="A56" s="209" t="s">
        <v>393</v>
      </c>
      <c r="B56" s="235"/>
      <c r="C56" s="153">
        <f>C21+C37+C53</f>
        <v>8683466</v>
      </c>
      <c r="D56" s="154">
        <f t="shared" ref="D56:K56" si="6">D21+D37+D53</f>
        <v>7714797</v>
      </c>
      <c r="E56" s="243">
        <f t="shared" si="6"/>
        <v>9059549</v>
      </c>
      <c r="F56" s="153">
        <f t="shared" si="6"/>
        <v>5779708.8499999996</v>
      </c>
      <c r="G56" s="154">
        <f t="shared" si="6"/>
        <v>6924198.209999999</v>
      </c>
      <c r="H56" s="155">
        <f t="shared" si="6"/>
        <v>6924198.209999999</v>
      </c>
      <c r="I56" s="244">
        <f t="shared" si="6"/>
        <v>8031500</v>
      </c>
      <c r="J56" s="154">
        <f t="shared" si="6"/>
        <v>8433075</v>
      </c>
      <c r="K56" s="155">
        <f t="shared" si="6"/>
        <v>8854728.75</v>
      </c>
    </row>
    <row r="57" spans="1:11" ht="5.0999999999999996" customHeight="1" x14ac:dyDescent="0.25">
      <c r="A57" s="245"/>
      <c r="B57" s="246"/>
      <c r="C57" s="247"/>
      <c r="D57" s="247"/>
      <c r="E57" s="247"/>
      <c r="F57" s="247"/>
      <c r="G57" s="247"/>
      <c r="H57" s="247"/>
      <c r="I57" s="247"/>
      <c r="J57" s="247"/>
      <c r="K57" s="247"/>
    </row>
    <row r="58" spans="1:11" ht="12.75" customHeight="1" x14ac:dyDescent="0.25">
      <c r="A58" s="31" t="str">
        <f>head27a</f>
        <v>References</v>
      </c>
      <c r="C58" s="25"/>
      <c r="D58" s="25"/>
      <c r="E58" s="25"/>
      <c r="F58" s="25"/>
      <c r="G58" s="25"/>
      <c r="H58" s="25"/>
      <c r="I58" s="25"/>
      <c r="J58" s="25"/>
      <c r="K58" s="25"/>
    </row>
    <row r="59" spans="1:11" ht="12.75" customHeight="1" x14ac:dyDescent="0.25">
      <c r="A59" s="41" t="s">
        <v>115</v>
      </c>
      <c r="C59" s="25"/>
      <c r="D59" s="25"/>
      <c r="E59" s="25"/>
      <c r="F59" s="25"/>
      <c r="G59" s="25"/>
      <c r="H59" s="25"/>
      <c r="I59" s="25"/>
      <c r="J59" s="25"/>
      <c r="K59" s="25"/>
    </row>
    <row r="60" spans="1:11" ht="12.75" customHeight="1" x14ac:dyDescent="0.25">
      <c r="A60" s="31" t="s">
        <v>130</v>
      </c>
    </row>
    <row r="61" spans="1:11" ht="12.75" customHeight="1" x14ac:dyDescent="0.25">
      <c r="A61" s="41" t="s">
        <v>395</v>
      </c>
    </row>
    <row r="62" spans="1:11" ht="12.75" customHeight="1" x14ac:dyDescent="0.25">
      <c r="A62" s="41" t="s">
        <v>396</v>
      </c>
    </row>
    <row r="63" spans="1:11" ht="12.75" customHeight="1" x14ac:dyDescent="0.25">
      <c r="A63" s="41" t="s">
        <v>397</v>
      </c>
    </row>
    <row r="64" spans="1:11" ht="12.75" customHeight="1" x14ac:dyDescent="0.25">
      <c r="A64" s="41" t="s">
        <v>398</v>
      </c>
    </row>
    <row r="65" spans="1:13" ht="12.75" customHeight="1" x14ac:dyDescent="0.25">
      <c r="A65" s="41" t="s">
        <v>401</v>
      </c>
    </row>
    <row r="66" spans="1:13" ht="12.75" customHeight="1" x14ac:dyDescent="0.25">
      <c r="A66" s="41" t="s">
        <v>400</v>
      </c>
      <c r="M66" s="44"/>
    </row>
    <row r="67" spans="1:13" ht="12.75" customHeight="1" x14ac:dyDescent="0.25">
      <c r="A67" s="41" t="s">
        <v>399</v>
      </c>
    </row>
    <row r="68" spans="1:13" ht="12.75" customHeight="1" x14ac:dyDescent="0.25">
      <c r="A68" s="41" t="s">
        <v>402</v>
      </c>
    </row>
    <row r="69" spans="1:13" ht="12.75" customHeight="1" x14ac:dyDescent="0.25">
      <c r="A69" s="41" t="s">
        <v>403</v>
      </c>
    </row>
    <row r="71" spans="1:13" x14ac:dyDescent="0.25">
      <c r="B71" s="17"/>
    </row>
    <row r="72" spans="1:13" x14ac:dyDescent="0.25">
      <c r="B72" s="17"/>
    </row>
    <row r="73" spans="1:13" x14ac:dyDescent="0.25">
      <c r="B73" s="17"/>
    </row>
    <row r="74" spans="1:13" x14ac:dyDescent="0.25">
      <c r="B74" s="17"/>
    </row>
    <row r="75" spans="1:13" x14ac:dyDescent="0.25">
      <c r="B75" s="17"/>
    </row>
    <row r="76" spans="1:13" x14ac:dyDescent="0.25">
      <c r="B76" s="17"/>
    </row>
    <row r="77" spans="1:13" x14ac:dyDescent="0.25">
      <c r="B77" s="17"/>
    </row>
    <row r="78" spans="1:13" x14ac:dyDescent="0.25">
      <c r="B78" s="17"/>
    </row>
    <row r="79" spans="1:13" x14ac:dyDescent="0.25">
      <c r="B79" s="17"/>
    </row>
    <row r="80" spans="1:13" x14ac:dyDescent="0.25">
      <c r="B80" s="17"/>
    </row>
    <row r="81" spans="2:2" x14ac:dyDescent="0.25">
      <c r="B81" s="17"/>
    </row>
    <row r="82" spans="2:2" x14ac:dyDescent="0.25">
      <c r="B82" s="17"/>
    </row>
    <row r="83" spans="2:2" x14ac:dyDescent="0.25">
      <c r="B83" s="17"/>
    </row>
    <row r="84" spans="2:2" x14ac:dyDescent="0.25">
      <c r="B84" s="17"/>
    </row>
    <row r="85" spans="2:2" x14ac:dyDescent="0.25">
      <c r="B85" s="17"/>
    </row>
    <row r="86" spans="2:2" x14ac:dyDescent="0.25">
      <c r="B86" s="17"/>
    </row>
    <row r="87" spans="2:2" x14ac:dyDescent="0.25">
      <c r="B87" s="17"/>
    </row>
    <row r="88" spans="2:2" x14ac:dyDescent="0.25">
      <c r="B88" s="17"/>
    </row>
    <row r="89" spans="2:2" x14ac:dyDescent="0.25">
      <c r="B89" s="17"/>
    </row>
    <row r="90" spans="2:2" x14ac:dyDescent="0.25">
      <c r="B90" s="17"/>
    </row>
    <row r="91" spans="2:2" x14ac:dyDescent="0.25">
      <c r="B91" s="17"/>
    </row>
    <row r="92" spans="2:2" x14ac:dyDescent="0.25">
      <c r="B92" s="17"/>
    </row>
    <row r="93" spans="2:2" x14ac:dyDescent="0.25">
      <c r="B93" s="17"/>
    </row>
    <row r="94" spans="2:2" x14ac:dyDescent="0.25">
      <c r="B94" s="17"/>
    </row>
    <row r="95" spans="2:2" x14ac:dyDescent="0.25">
      <c r="B95" s="17"/>
    </row>
    <row r="96" spans="2:2" x14ac:dyDescent="0.25">
      <c r="B96" s="17"/>
    </row>
    <row r="97" spans="2:2" x14ac:dyDescent="0.25">
      <c r="B97" s="17"/>
    </row>
    <row r="98" spans="2:2" x14ac:dyDescent="0.25">
      <c r="B98" s="17"/>
    </row>
    <row r="99" spans="2:2" x14ac:dyDescent="0.25">
      <c r="B99" s="17"/>
    </row>
    <row r="100" spans="2:2" x14ac:dyDescent="0.25">
      <c r="B100" s="17"/>
    </row>
    <row r="101" spans="2:2" x14ac:dyDescent="0.25">
      <c r="B101" s="17"/>
    </row>
    <row r="102" spans="2:2" x14ac:dyDescent="0.25">
      <c r="B102" s="17"/>
    </row>
    <row r="103" spans="2:2" x14ac:dyDescent="0.25">
      <c r="B103" s="17"/>
    </row>
    <row r="104" spans="2:2" x14ac:dyDescent="0.25">
      <c r="B104" s="17"/>
    </row>
    <row r="105" spans="2:2" x14ac:dyDescent="0.25">
      <c r="B105" s="17"/>
    </row>
    <row r="106" spans="2:2" x14ac:dyDescent="0.25">
      <c r="B106" s="17"/>
    </row>
    <row r="107" spans="2:2" x14ac:dyDescent="0.25">
      <c r="B107" s="17"/>
    </row>
    <row r="108" spans="2:2" x14ac:dyDescent="0.25">
      <c r="B108" s="17"/>
    </row>
    <row r="109" spans="2:2" x14ac:dyDescent="0.25">
      <c r="B109" s="17"/>
    </row>
    <row r="110" spans="2:2" x14ac:dyDescent="0.25">
      <c r="B110" s="17"/>
    </row>
    <row r="111" spans="2:2" x14ac:dyDescent="0.25">
      <c r="B111" s="17"/>
    </row>
    <row r="112" spans="2:2" x14ac:dyDescent="0.25">
      <c r="B112" s="17"/>
    </row>
    <row r="113" spans="2:2" x14ac:dyDescent="0.25">
      <c r="B113" s="17"/>
    </row>
    <row r="114" spans="2:2" x14ac:dyDescent="0.25">
      <c r="B114" s="17"/>
    </row>
    <row r="115" spans="2:2" x14ac:dyDescent="0.25">
      <c r="B115" s="17"/>
    </row>
    <row r="116" spans="2:2" x14ac:dyDescent="0.25">
      <c r="B116" s="17"/>
    </row>
    <row r="117" spans="2:2" x14ac:dyDescent="0.25">
      <c r="B117" s="17"/>
    </row>
    <row r="118" spans="2:2" x14ac:dyDescent="0.25">
      <c r="B118" s="17"/>
    </row>
    <row r="119" spans="2:2" x14ac:dyDescent="0.25">
      <c r="B119" s="17"/>
    </row>
    <row r="120" spans="2:2" x14ac:dyDescent="0.25">
      <c r="B120" s="17"/>
    </row>
    <row r="121" spans="2:2" x14ac:dyDescent="0.25">
      <c r="B121" s="17"/>
    </row>
    <row r="122" spans="2:2" x14ac:dyDescent="0.25">
      <c r="B122" s="17"/>
    </row>
    <row r="123" spans="2:2" x14ac:dyDescent="0.25">
      <c r="B123" s="17"/>
    </row>
    <row r="124" spans="2:2" x14ac:dyDescent="0.25">
      <c r="B124" s="17"/>
    </row>
    <row r="125" spans="2:2" x14ac:dyDescent="0.25">
      <c r="B125" s="17"/>
    </row>
    <row r="126" spans="2:2" x14ac:dyDescent="0.25">
      <c r="B126" s="17"/>
    </row>
    <row r="127" spans="2:2" x14ac:dyDescent="0.25">
      <c r="B127" s="17"/>
    </row>
    <row r="128" spans="2:2" x14ac:dyDescent="0.25">
      <c r="B128" s="17"/>
    </row>
    <row r="129" spans="2:2" x14ac:dyDescent="0.25">
      <c r="B129" s="17"/>
    </row>
    <row r="130" spans="2:2" x14ac:dyDescent="0.25">
      <c r="B130" s="17"/>
    </row>
    <row r="131" spans="2:2" x14ac:dyDescent="0.25">
      <c r="B131" s="17"/>
    </row>
    <row r="132" spans="2:2" x14ac:dyDescent="0.25">
      <c r="B132" s="17"/>
    </row>
    <row r="133" spans="2:2" x14ac:dyDescent="0.25">
      <c r="B133" s="17"/>
    </row>
    <row r="134" spans="2:2" x14ac:dyDescent="0.25">
      <c r="B134" s="17"/>
    </row>
    <row r="135" spans="2:2" x14ac:dyDescent="0.25">
      <c r="B135" s="17"/>
    </row>
    <row r="136" spans="2:2" x14ac:dyDescent="0.25">
      <c r="B136" s="17"/>
    </row>
    <row r="137" spans="2:2" x14ac:dyDescent="0.25">
      <c r="B137" s="17"/>
    </row>
    <row r="138" spans="2:2" x14ac:dyDescent="0.25">
      <c r="B138" s="17"/>
    </row>
    <row r="139" spans="2:2" x14ac:dyDescent="0.25">
      <c r="B139" s="17"/>
    </row>
    <row r="140" spans="2:2" x14ac:dyDescent="0.25">
      <c r="B140" s="17"/>
    </row>
    <row r="141" spans="2:2" x14ac:dyDescent="0.25">
      <c r="B141" s="17"/>
    </row>
    <row r="142" spans="2:2" x14ac:dyDescent="0.25">
      <c r="B142" s="17"/>
    </row>
    <row r="143" spans="2:2" x14ac:dyDescent="0.25">
      <c r="B143" s="17"/>
    </row>
    <row r="144" spans="2:2" x14ac:dyDescent="0.25">
      <c r="B144" s="17"/>
    </row>
    <row r="145" spans="2:2" x14ac:dyDescent="0.25">
      <c r="B145" s="17"/>
    </row>
  </sheetData>
  <sheetProtection sheet="1" objects="1" scenarios="1"/>
  <mergeCells count="11">
    <mergeCell ref="C3:C4"/>
    <mergeCell ref="D3:D4"/>
    <mergeCell ref="A2:A4"/>
    <mergeCell ref="B2:B4"/>
    <mergeCell ref="I3:I4"/>
    <mergeCell ref="K3:K4"/>
    <mergeCell ref="E3:E4"/>
    <mergeCell ref="F3:F4"/>
    <mergeCell ref="G3:G4"/>
    <mergeCell ref="H3:H4"/>
    <mergeCell ref="J3:J4"/>
  </mergeCells>
  <phoneticPr fontId="2" type="noConversion"/>
  <printOptions horizontalCentered="1"/>
  <pageMargins left="0.35433070866141736" right="0.15748031496062992" top="0.78740157480314965" bottom="0.59055118110236227" header="0.51181102362204722" footer="0.51181102362204722"/>
  <pageSetup paperSize="9" scale="8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tabColor rgb="FFCCFFCC"/>
  </sheetPr>
  <dimension ref="A1:K50"/>
  <sheetViews>
    <sheetView showGridLines="0" zoomScaleNormal="100" workbookViewId="0">
      <pane xSplit="2" ySplit="3" topLeftCell="C37" activePane="bottomRight" state="frozen"/>
      <selection activeCell="A23" sqref="A23"/>
      <selection pane="topRight" activeCell="A23" sqref="A23"/>
      <selection pane="bottomLeft" activeCell="A23" sqref="A23"/>
      <selection pane="bottomRight" activeCell="J65" sqref="J65"/>
    </sheetView>
  </sheetViews>
  <sheetFormatPr defaultColWidth="9.140625" defaultRowHeight="12.75" x14ac:dyDescent="0.25"/>
  <cols>
    <col min="1" max="1" width="37.7109375" style="17" customWidth="1"/>
    <col min="2" max="2" width="3" style="32" customWidth="1"/>
    <col min="3" max="11" width="8.7109375" style="17" customWidth="1"/>
    <col min="12" max="12" width="9.85546875" style="17" customWidth="1"/>
    <col min="13" max="13" width="9.5703125" style="17" customWidth="1"/>
    <col min="14" max="14" width="9.85546875" style="17" customWidth="1"/>
    <col min="15" max="17" width="9.5703125" style="17" customWidth="1"/>
    <col min="18" max="18" width="9.85546875" style="17" customWidth="1"/>
    <col min="19" max="21" width="9.5703125" style="17" customWidth="1"/>
    <col min="22" max="23" width="9.85546875" style="17" customWidth="1"/>
    <col min="24" max="16384" width="9.140625" style="17"/>
  </cols>
  <sheetData>
    <row r="1" spans="1:11" ht="13.5" customHeight="1" x14ac:dyDescent="0.25">
      <c r="A1" s="248" t="str">
        <f>MEB5b</f>
        <v>Harry Gwala Development Agency (Pty) Ltd - Supporting Table SD5 Summary of personnel numbers</v>
      </c>
      <c r="B1" s="248"/>
      <c r="C1" s="248"/>
      <c r="D1" s="248"/>
      <c r="E1" s="248"/>
      <c r="F1" s="248"/>
      <c r="G1" s="248"/>
      <c r="H1" s="248"/>
      <c r="I1" s="248"/>
      <c r="J1" s="248"/>
      <c r="K1" s="248"/>
    </row>
    <row r="2" spans="1:11" ht="28.5" customHeight="1" x14ac:dyDescent="0.25">
      <c r="A2" s="249" t="s">
        <v>501</v>
      </c>
      <c r="B2" s="250" t="str">
        <f>head27</f>
        <v>Ref</v>
      </c>
      <c r="C2" s="550" t="str">
        <f>Head1</f>
        <v>2017/18</v>
      </c>
      <c r="D2" s="523"/>
      <c r="E2" s="524"/>
      <c r="F2" s="551" t="str">
        <f>Head2</f>
        <v>Current Year 2018/19</v>
      </c>
      <c r="G2" s="552"/>
      <c r="H2" s="553"/>
      <c r="I2" s="519" t="str">
        <f>Head9</f>
        <v>Budget Year 2019/20</v>
      </c>
      <c r="J2" s="520"/>
      <c r="K2" s="521"/>
    </row>
    <row r="3" spans="1:11" ht="25.5" x14ac:dyDescent="0.25">
      <c r="A3" s="306" t="s">
        <v>502</v>
      </c>
      <c r="B3" s="251">
        <v>1</v>
      </c>
      <c r="C3" s="252" t="s">
        <v>503</v>
      </c>
      <c r="D3" s="253" t="s">
        <v>223</v>
      </c>
      <c r="E3" s="254" t="s">
        <v>504</v>
      </c>
      <c r="F3" s="252" t="s">
        <v>503</v>
      </c>
      <c r="G3" s="253" t="s">
        <v>223</v>
      </c>
      <c r="H3" s="254" t="s">
        <v>504</v>
      </c>
      <c r="I3" s="252" t="s">
        <v>503</v>
      </c>
      <c r="J3" s="253" t="s">
        <v>223</v>
      </c>
      <c r="K3" s="254" t="s">
        <v>504</v>
      </c>
    </row>
    <row r="4" spans="1:11" x14ac:dyDescent="0.25">
      <c r="A4" s="45" t="s">
        <v>505</v>
      </c>
      <c r="B4" s="237"/>
      <c r="C4" s="255"/>
      <c r="D4" s="255"/>
      <c r="E4" s="256"/>
      <c r="F4" s="257"/>
      <c r="G4" s="255"/>
      <c r="H4" s="258"/>
      <c r="I4" s="259"/>
      <c r="J4" s="255"/>
      <c r="K4" s="256"/>
    </row>
    <row r="5" spans="1:11" ht="11.25" customHeight="1" x14ac:dyDescent="0.25">
      <c r="A5" s="20" t="s">
        <v>506</v>
      </c>
      <c r="B5" s="237"/>
      <c r="C5" s="260"/>
      <c r="D5" s="260"/>
      <c r="E5" s="261"/>
      <c r="F5" s="262"/>
      <c r="G5" s="260"/>
      <c r="H5" s="263"/>
      <c r="I5" s="264"/>
      <c r="J5" s="260"/>
      <c r="K5" s="261"/>
    </row>
    <row r="6" spans="1:11" ht="11.25" customHeight="1" x14ac:dyDescent="0.25">
      <c r="A6" s="20" t="s">
        <v>507</v>
      </c>
      <c r="B6" s="237">
        <v>3</v>
      </c>
      <c r="C6" s="260">
        <v>5</v>
      </c>
      <c r="D6" s="260">
        <v>0</v>
      </c>
      <c r="E6" s="261">
        <v>3</v>
      </c>
      <c r="F6" s="262">
        <v>5</v>
      </c>
      <c r="G6" s="260">
        <v>0</v>
      </c>
      <c r="H6" s="263">
        <v>3</v>
      </c>
      <c r="I6" s="264">
        <v>5</v>
      </c>
      <c r="J6" s="260">
        <v>0</v>
      </c>
      <c r="K6" s="261">
        <v>3</v>
      </c>
    </row>
    <row r="7" spans="1:11" ht="11.25" customHeight="1" x14ac:dyDescent="0.25">
      <c r="A7" s="45" t="s">
        <v>786</v>
      </c>
      <c r="B7" s="237">
        <v>4</v>
      </c>
      <c r="C7" s="260"/>
      <c r="D7" s="260"/>
      <c r="E7" s="261"/>
      <c r="F7" s="262"/>
      <c r="G7" s="260"/>
      <c r="H7" s="263"/>
      <c r="I7" s="264"/>
      <c r="J7" s="260"/>
      <c r="K7" s="261"/>
    </row>
    <row r="8" spans="1:11" ht="11.25" customHeight="1" x14ac:dyDescent="0.25">
      <c r="A8" s="20" t="s">
        <v>787</v>
      </c>
      <c r="B8" s="237">
        <v>2</v>
      </c>
      <c r="C8" s="260">
        <v>2</v>
      </c>
      <c r="D8" s="260">
        <v>0</v>
      </c>
      <c r="E8" s="261">
        <v>2</v>
      </c>
      <c r="F8" s="262">
        <v>2</v>
      </c>
      <c r="G8" s="260">
        <v>0</v>
      </c>
      <c r="H8" s="263">
        <v>2</v>
      </c>
      <c r="I8" s="264">
        <v>2</v>
      </c>
      <c r="J8" s="260">
        <v>0</v>
      </c>
      <c r="K8" s="261">
        <v>2</v>
      </c>
    </row>
    <row r="9" spans="1:11" ht="11.25" customHeight="1" x14ac:dyDescent="0.25">
      <c r="A9" s="20" t="s">
        <v>136</v>
      </c>
      <c r="B9" s="237">
        <v>6</v>
      </c>
      <c r="C9" s="260">
        <v>3</v>
      </c>
      <c r="D9" s="260">
        <v>1</v>
      </c>
      <c r="E9" s="261">
        <v>2</v>
      </c>
      <c r="F9" s="262">
        <v>3</v>
      </c>
      <c r="G9" s="260">
        <v>1</v>
      </c>
      <c r="H9" s="263">
        <v>2</v>
      </c>
      <c r="I9" s="264">
        <v>3</v>
      </c>
      <c r="J9" s="260">
        <v>1</v>
      </c>
      <c r="K9" s="261">
        <v>2</v>
      </c>
    </row>
    <row r="10" spans="1:11" ht="11.25" customHeight="1" x14ac:dyDescent="0.25">
      <c r="A10" s="20" t="s">
        <v>508</v>
      </c>
      <c r="B10" s="237"/>
      <c r="C10" s="265">
        <f>SUM(C11:C18)</f>
        <v>6</v>
      </c>
      <c r="D10" s="265">
        <f>SUM(D11:D18)</f>
        <v>0</v>
      </c>
      <c r="E10" s="266">
        <f t="shared" ref="E10:K10" si="0">SUM(E11:E18)</f>
        <v>6</v>
      </c>
      <c r="F10" s="267">
        <f t="shared" si="0"/>
        <v>6</v>
      </c>
      <c r="G10" s="265">
        <f t="shared" si="0"/>
        <v>0</v>
      </c>
      <c r="H10" s="268">
        <f t="shared" si="0"/>
        <v>6</v>
      </c>
      <c r="I10" s="269">
        <f t="shared" si="0"/>
        <v>6</v>
      </c>
      <c r="J10" s="265">
        <f t="shared" si="0"/>
        <v>0</v>
      </c>
      <c r="K10" s="266">
        <f t="shared" si="0"/>
        <v>6</v>
      </c>
    </row>
    <row r="11" spans="1:11" ht="11.25" customHeight="1" x14ac:dyDescent="0.25">
      <c r="A11" s="238" t="s">
        <v>224</v>
      </c>
      <c r="B11" s="237"/>
      <c r="C11" s="260">
        <v>6</v>
      </c>
      <c r="D11" s="260">
        <v>0</v>
      </c>
      <c r="E11" s="261">
        <v>6</v>
      </c>
      <c r="F11" s="260">
        <v>6</v>
      </c>
      <c r="G11" s="260">
        <v>0</v>
      </c>
      <c r="H11" s="261">
        <v>6</v>
      </c>
      <c r="I11" s="260">
        <v>6</v>
      </c>
      <c r="J11" s="260">
        <v>0</v>
      </c>
      <c r="K11" s="261">
        <v>6</v>
      </c>
    </row>
    <row r="12" spans="1:11" ht="11.25" customHeight="1" x14ac:dyDescent="0.25">
      <c r="A12" s="238" t="s">
        <v>509</v>
      </c>
      <c r="B12" s="237"/>
      <c r="C12" s="260"/>
      <c r="D12" s="260"/>
      <c r="E12" s="261"/>
      <c r="F12" s="262"/>
      <c r="G12" s="260"/>
      <c r="H12" s="263"/>
      <c r="I12" s="264"/>
      <c r="J12" s="260"/>
      <c r="K12" s="261"/>
    </row>
    <row r="13" spans="1:11" ht="11.25" customHeight="1" x14ac:dyDescent="0.25">
      <c r="A13" s="238" t="s">
        <v>255</v>
      </c>
      <c r="B13" s="237"/>
      <c r="C13" s="260"/>
      <c r="D13" s="260"/>
      <c r="E13" s="261"/>
      <c r="F13" s="262"/>
      <c r="G13" s="260"/>
      <c r="H13" s="263"/>
      <c r="I13" s="264"/>
      <c r="J13" s="260"/>
      <c r="K13" s="261"/>
    </row>
    <row r="14" spans="1:11" ht="11.25" customHeight="1" x14ac:dyDescent="0.25">
      <c r="A14" s="238" t="s">
        <v>510</v>
      </c>
      <c r="B14" s="237"/>
      <c r="C14" s="260"/>
      <c r="D14" s="260"/>
      <c r="E14" s="261"/>
      <c r="F14" s="262"/>
      <c r="G14" s="260"/>
      <c r="H14" s="263"/>
      <c r="I14" s="264"/>
      <c r="J14" s="260"/>
      <c r="K14" s="261"/>
    </row>
    <row r="15" spans="1:11" ht="11.25" customHeight="1" x14ac:dyDescent="0.25">
      <c r="A15" s="238" t="s">
        <v>145</v>
      </c>
      <c r="B15" s="237"/>
      <c r="C15" s="260"/>
      <c r="D15" s="260"/>
      <c r="E15" s="261"/>
      <c r="F15" s="262"/>
      <c r="G15" s="260"/>
      <c r="H15" s="263"/>
      <c r="I15" s="264"/>
      <c r="J15" s="260"/>
      <c r="K15" s="261"/>
    </row>
    <row r="16" spans="1:11" ht="11.25" customHeight="1" x14ac:dyDescent="0.25">
      <c r="A16" s="238" t="s">
        <v>3</v>
      </c>
      <c r="B16" s="237"/>
      <c r="C16" s="260"/>
      <c r="D16" s="260"/>
      <c r="E16" s="261"/>
      <c r="F16" s="262"/>
      <c r="G16" s="260"/>
      <c r="H16" s="263"/>
      <c r="I16" s="264"/>
      <c r="J16" s="260"/>
      <c r="K16" s="261"/>
    </row>
    <row r="17" spans="1:11" ht="11.25" customHeight="1" x14ac:dyDescent="0.25">
      <c r="A17" s="238" t="s">
        <v>4</v>
      </c>
      <c r="B17" s="237"/>
      <c r="C17" s="260"/>
      <c r="D17" s="260"/>
      <c r="E17" s="261"/>
      <c r="F17" s="262"/>
      <c r="G17" s="260"/>
      <c r="H17" s="263"/>
      <c r="I17" s="264"/>
      <c r="J17" s="260"/>
      <c r="K17" s="261"/>
    </row>
    <row r="18" spans="1:11" ht="11.25" customHeight="1" x14ac:dyDescent="0.25">
      <c r="A18" s="238" t="s">
        <v>92</v>
      </c>
      <c r="B18" s="237"/>
      <c r="C18" s="260"/>
      <c r="D18" s="260"/>
      <c r="E18" s="261"/>
      <c r="F18" s="262"/>
      <c r="G18" s="260"/>
      <c r="H18" s="263"/>
      <c r="I18" s="264"/>
      <c r="J18" s="260"/>
      <c r="K18" s="261"/>
    </row>
    <row r="19" spans="1:11" ht="11.25" customHeight="1" x14ac:dyDescent="0.25">
      <c r="A19" s="238" t="s">
        <v>231</v>
      </c>
      <c r="B19" s="237"/>
      <c r="C19" s="260"/>
      <c r="D19" s="260"/>
      <c r="E19" s="261"/>
      <c r="F19" s="262"/>
      <c r="G19" s="260"/>
      <c r="H19" s="263"/>
      <c r="I19" s="264"/>
      <c r="J19" s="260"/>
      <c r="K19" s="261"/>
    </row>
    <row r="20" spans="1:11" ht="11.25" customHeight="1" x14ac:dyDescent="0.25">
      <c r="A20" s="20" t="s">
        <v>511</v>
      </c>
      <c r="B20" s="237"/>
      <c r="C20" s="265">
        <f>SUM(C21:C28)</f>
        <v>0</v>
      </c>
      <c r="D20" s="265">
        <f>SUM(D21:D28)</f>
        <v>0</v>
      </c>
      <c r="E20" s="266">
        <f t="shared" ref="E20:K20" si="1">SUM(E21:E28)</f>
        <v>0</v>
      </c>
      <c r="F20" s="267">
        <f t="shared" si="1"/>
        <v>0</v>
      </c>
      <c r="G20" s="265">
        <f t="shared" si="1"/>
        <v>0</v>
      </c>
      <c r="H20" s="268">
        <f t="shared" si="1"/>
        <v>0</v>
      </c>
      <c r="I20" s="269">
        <f t="shared" si="1"/>
        <v>0</v>
      </c>
      <c r="J20" s="265">
        <f t="shared" si="1"/>
        <v>0</v>
      </c>
      <c r="K20" s="266">
        <f t="shared" si="1"/>
        <v>0</v>
      </c>
    </row>
    <row r="21" spans="1:11" ht="11.25" customHeight="1" x14ac:dyDescent="0.25">
      <c r="A21" s="238" t="s">
        <v>224</v>
      </c>
      <c r="B21" s="237"/>
      <c r="C21" s="260"/>
      <c r="D21" s="260"/>
      <c r="E21" s="261"/>
      <c r="F21" s="262"/>
      <c r="G21" s="260"/>
      <c r="H21" s="263"/>
      <c r="I21" s="264"/>
      <c r="J21" s="260"/>
      <c r="K21" s="261"/>
    </row>
    <row r="22" spans="1:11" ht="11.25" customHeight="1" x14ac:dyDescent="0.25">
      <c r="A22" s="238" t="s">
        <v>509</v>
      </c>
      <c r="B22" s="237"/>
      <c r="C22" s="260"/>
      <c r="D22" s="260"/>
      <c r="E22" s="261"/>
      <c r="F22" s="262"/>
      <c r="G22" s="260"/>
      <c r="H22" s="263"/>
      <c r="I22" s="264"/>
      <c r="J22" s="260"/>
      <c r="K22" s="261"/>
    </row>
    <row r="23" spans="1:11" ht="11.25" customHeight="1" x14ac:dyDescent="0.25">
      <c r="A23" s="238" t="s">
        <v>255</v>
      </c>
      <c r="B23" s="237"/>
      <c r="C23" s="260"/>
      <c r="D23" s="260"/>
      <c r="E23" s="261"/>
      <c r="F23" s="262"/>
      <c r="G23" s="260"/>
      <c r="H23" s="263"/>
      <c r="I23" s="264"/>
      <c r="J23" s="260"/>
      <c r="K23" s="261"/>
    </row>
    <row r="24" spans="1:11" ht="11.25" customHeight="1" x14ac:dyDescent="0.25">
      <c r="A24" s="238" t="s">
        <v>510</v>
      </c>
      <c r="B24" s="237"/>
      <c r="C24" s="260"/>
      <c r="D24" s="260"/>
      <c r="E24" s="261"/>
      <c r="F24" s="262"/>
      <c r="G24" s="260"/>
      <c r="H24" s="263"/>
      <c r="I24" s="264"/>
      <c r="J24" s="260"/>
      <c r="K24" s="261"/>
    </row>
    <row r="25" spans="1:11" ht="11.25" customHeight="1" x14ac:dyDescent="0.25">
      <c r="A25" s="238" t="s">
        <v>145</v>
      </c>
      <c r="B25" s="237"/>
      <c r="C25" s="260"/>
      <c r="D25" s="260"/>
      <c r="E25" s="261"/>
      <c r="F25" s="262"/>
      <c r="G25" s="260"/>
      <c r="H25" s="263"/>
      <c r="I25" s="264"/>
      <c r="J25" s="260"/>
      <c r="K25" s="261"/>
    </row>
    <row r="26" spans="1:11" ht="11.25" customHeight="1" x14ac:dyDescent="0.25">
      <c r="A26" s="238" t="s">
        <v>3</v>
      </c>
      <c r="B26" s="237"/>
      <c r="C26" s="260"/>
      <c r="D26" s="260"/>
      <c r="E26" s="261"/>
      <c r="F26" s="262"/>
      <c r="G26" s="260"/>
      <c r="H26" s="263"/>
      <c r="I26" s="264"/>
      <c r="J26" s="260"/>
      <c r="K26" s="261"/>
    </row>
    <row r="27" spans="1:11" ht="11.25" customHeight="1" x14ac:dyDescent="0.25">
      <c r="A27" s="238" t="s">
        <v>4</v>
      </c>
      <c r="B27" s="237"/>
      <c r="C27" s="260"/>
      <c r="D27" s="260"/>
      <c r="E27" s="261"/>
      <c r="F27" s="262"/>
      <c r="G27" s="260"/>
      <c r="H27" s="263"/>
      <c r="I27" s="264"/>
      <c r="J27" s="260"/>
      <c r="K27" s="261"/>
    </row>
    <row r="28" spans="1:11" ht="11.25" customHeight="1" x14ac:dyDescent="0.25">
      <c r="A28" s="238" t="s">
        <v>92</v>
      </c>
      <c r="B28" s="237"/>
      <c r="C28" s="260"/>
      <c r="D28" s="260"/>
      <c r="E28" s="261"/>
      <c r="F28" s="262"/>
      <c r="G28" s="260"/>
      <c r="H28" s="263"/>
      <c r="I28" s="264"/>
      <c r="J28" s="260"/>
      <c r="K28" s="261"/>
    </row>
    <row r="29" spans="1:11" ht="11.25" customHeight="1" x14ac:dyDescent="0.25">
      <c r="A29" s="238" t="s">
        <v>231</v>
      </c>
      <c r="B29" s="237"/>
      <c r="C29" s="260">
        <v>1</v>
      </c>
      <c r="D29" s="260">
        <v>0</v>
      </c>
      <c r="E29" s="261">
        <v>1</v>
      </c>
      <c r="F29" s="260">
        <v>1</v>
      </c>
      <c r="G29" s="260">
        <v>0</v>
      </c>
      <c r="H29" s="261">
        <v>1</v>
      </c>
      <c r="I29" s="260">
        <v>1</v>
      </c>
      <c r="J29" s="260">
        <v>0</v>
      </c>
      <c r="K29" s="261">
        <v>1</v>
      </c>
    </row>
    <row r="30" spans="1:11" ht="11.25" customHeight="1" x14ac:dyDescent="0.25">
      <c r="A30" s="20" t="s">
        <v>512</v>
      </c>
      <c r="B30" s="237"/>
      <c r="C30" s="260">
        <v>2</v>
      </c>
      <c r="D30" s="260">
        <v>0</v>
      </c>
      <c r="E30" s="261">
        <v>2</v>
      </c>
      <c r="F30" s="260">
        <v>2</v>
      </c>
      <c r="G30" s="260">
        <v>0</v>
      </c>
      <c r="H30" s="261">
        <v>2</v>
      </c>
      <c r="I30" s="260">
        <v>2</v>
      </c>
      <c r="J30" s="260">
        <v>0</v>
      </c>
      <c r="K30" s="261">
        <v>2</v>
      </c>
    </row>
    <row r="31" spans="1:11" ht="11.25" customHeight="1" x14ac:dyDescent="0.25">
      <c r="A31" s="20" t="s">
        <v>513</v>
      </c>
      <c r="B31" s="237"/>
      <c r="C31" s="260"/>
      <c r="D31" s="260"/>
      <c r="E31" s="261"/>
      <c r="F31" s="262"/>
      <c r="G31" s="260"/>
      <c r="H31" s="263"/>
      <c r="I31" s="264"/>
      <c r="J31" s="260"/>
      <c r="K31" s="261"/>
    </row>
    <row r="32" spans="1:11" ht="11.25" customHeight="1" x14ac:dyDescent="0.25">
      <c r="A32" s="20" t="s">
        <v>514</v>
      </c>
      <c r="B32" s="237"/>
      <c r="C32" s="260"/>
      <c r="D32" s="260"/>
      <c r="E32" s="261"/>
      <c r="F32" s="262"/>
      <c r="G32" s="260"/>
      <c r="H32" s="263"/>
      <c r="I32" s="264"/>
      <c r="J32" s="260"/>
      <c r="K32" s="261"/>
    </row>
    <row r="33" spans="1:11" ht="11.25" customHeight="1" x14ac:dyDescent="0.25">
      <c r="A33" s="20" t="s">
        <v>515</v>
      </c>
      <c r="B33" s="237"/>
      <c r="C33" s="260"/>
      <c r="D33" s="260"/>
      <c r="E33" s="261"/>
      <c r="F33" s="262"/>
      <c r="G33" s="260"/>
      <c r="H33" s="263"/>
      <c r="I33" s="264"/>
      <c r="J33" s="260"/>
      <c r="K33" s="261"/>
    </row>
    <row r="34" spans="1:11" ht="11.25" customHeight="1" x14ac:dyDescent="0.25">
      <c r="A34" s="20" t="s">
        <v>516</v>
      </c>
      <c r="B34" s="237"/>
      <c r="C34" s="260"/>
      <c r="D34" s="260"/>
      <c r="E34" s="261"/>
      <c r="F34" s="262"/>
      <c r="G34" s="260"/>
      <c r="H34" s="263"/>
      <c r="I34" s="264"/>
      <c r="J34" s="260"/>
      <c r="K34" s="261"/>
    </row>
    <row r="35" spans="1:11" ht="11.25" customHeight="1" x14ac:dyDescent="0.25">
      <c r="A35" s="20" t="s">
        <v>517</v>
      </c>
      <c r="B35" s="237"/>
      <c r="C35" s="260"/>
      <c r="D35" s="260"/>
      <c r="E35" s="261"/>
      <c r="F35" s="262"/>
      <c r="G35" s="260"/>
      <c r="H35" s="263"/>
      <c r="I35" s="264"/>
      <c r="J35" s="260"/>
      <c r="K35" s="261"/>
    </row>
    <row r="36" spans="1:11" ht="11.25" customHeight="1" x14ac:dyDescent="0.25">
      <c r="A36" s="28" t="s">
        <v>788</v>
      </c>
      <c r="B36" s="237"/>
      <c r="C36" s="270">
        <f>SUM(C5:C9)+SUM(C11:C19)+SUM(C21:C35)</f>
        <v>19</v>
      </c>
      <c r="D36" s="270">
        <f t="shared" ref="D36:K36" si="2">SUM(D5:D9)+SUM(D11:D19)+SUM(D21:D35)</f>
        <v>1</v>
      </c>
      <c r="E36" s="271">
        <f t="shared" si="2"/>
        <v>16</v>
      </c>
      <c r="F36" s="272">
        <f t="shared" si="2"/>
        <v>19</v>
      </c>
      <c r="G36" s="270">
        <f t="shared" si="2"/>
        <v>1</v>
      </c>
      <c r="H36" s="273">
        <f t="shared" si="2"/>
        <v>16</v>
      </c>
      <c r="I36" s="274">
        <f t="shared" si="2"/>
        <v>19</v>
      </c>
      <c r="J36" s="270">
        <f t="shared" si="2"/>
        <v>1</v>
      </c>
      <c r="K36" s="273">
        <f t="shared" si="2"/>
        <v>16</v>
      </c>
    </row>
    <row r="37" spans="1:11" ht="11.25" customHeight="1" x14ac:dyDescent="0.25">
      <c r="A37" s="214" t="s">
        <v>234</v>
      </c>
      <c r="B37" s="237"/>
      <c r="C37" s="275"/>
      <c r="D37" s="276">
        <f>IF(ISERROR((D36/C36)-1),0,((D36/C36)-1))</f>
        <v>-0.94736842105263164</v>
      </c>
      <c r="E37" s="277">
        <f>IF(ISERROR((E36/D36)-1),0,((E36/D36)-1))</f>
        <v>15</v>
      </c>
      <c r="F37" s="278">
        <f>IF(ISERROR((F36/E36)-1),0,((F36/E36)-1))</f>
        <v>0.1875</v>
      </c>
      <c r="G37" s="279">
        <f>IF(ISERROR((G36/E36)-1),0,((G36/E36)-1))</f>
        <v>-0.9375</v>
      </c>
      <c r="H37" s="280">
        <f>IF(ISERROR((H36/E36)-1),0,((H36/E36)-1))</f>
        <v>0</v>
      </c>
      <c r="I37" s="281">
        <f>IF(ISERROR((I36/H36)-1),0,((I36/H36)-1))</f>
        <v>0.1875</v>
      </c>
      <c r="J37" s="279">
        <f>IF(ISERROR((J36/I36)-1),0,((J36/I36)-1))</f>
        <v>-0.94736842105263164</v>
      </c>
      <c r="K37" s="282">
        <f>IF(ISERROR((K36/J36)-1),0,((K36/J36)-1))</f>
        <v>15</v>
      </c>
    </row>
    <row r="38" spans="1:11" ht="3.75" customHeight="1" x14ac:dyDescent="0.25">
      <c r="A38" s="214"/>
      <c r="B38" s="237"/>
      <c r="C38" s="275"/>
      <c r="D38" s="279"/>
      <c r="E38" s="282"/>
      <c r="F38" s="278"/>
      <c r="G38" s="279"/>
      <c r="H38" s="280"/>
      <c r="I38" s="281"/>
      <c r="J38" s="279"/>
      <c r="K38" s="282"/>
    </row>
    <row r="39" spans="1:11" ht="11.25" customHeight="1" x14ac:dyDescent="0.25">
      <c r="A39" s="45" t="s">
        <v>527</v>
      </c>
      <c r="B39" s="237">
        <v>5</v>
      </c>
      <c r="C39" s="283"/>
      <c r="D39" s="284"/>
      <c r="E39" s="285"/>
      <c r="F39" s="286"/>
      <c r="G39" s="287"/>
      <c r="H39" s="288"/>
      <c r="I39" s="289"/>
      <c r="J39" s="287"/>
      <c r="K39" s="290"/>
    </row>
    <row r="40" spans="1:11" ht="11.25" customHeight="1" x14ac:dyDescent="0.25">
      <c r="A40" s="20" t="s">
        <v>518</v>
      </c>
      <c r="B40" s="237">
        <v>7</v>
      </c>
      <c r="C40" s="283">
        <v>15</v>
      </c>
      <c r="D40" s="284">
        <v>1</v>
      </c>
      <c r="E40" s="285">
        <v>14</v>
      </c>
      <c r="F40" s="283">
        <v>15</v>
      </c>
      <c r="G40" s="284">
        <v>1</v>
      </c>
      <c r="H40" s="285">
        <v>14</v>
      </c>
      <c r="I40" s="283">
        <v>15</v>
      </c>
      <c r="J40" s="284">
        <v>1</v>
      </c>
      <c r="K40" s="285">
        <v>14</v>
      </c>
    </row>
    <row r="41" spans="1:11" ht="11.25" customHeight="1" x14ac:dyDescent="0.25">
      <c r="A41" s="215" t="s">
        <v>519</v>
      </c>
      <c r="B41" s="291">
        <v>7</v>
      </c>
      <c r="C41" s="292">
        <v>4</v>
      </c>
      <c r="D41" s="293">
        <v>0</v>
      </c>
      <c r="E41" s="294">
        <v>2</v>
      </c>
      <c r="F41" s="292">
        <v>4</v>
      </c>
      <c r="G41" s="293">
        <v>0</v>
      </c>
      <c r="H41" s="294">
        <v>2</v>
      </c>
      <c r="I41" s="292">
        <v>4</v>
      </c>
      <c r="J41" s="293">
        <v>0</v>
      </c>
      <c r="K41" s="294">
        <v>2</v>
      </c>
    </row>
    <row r="42" spans="1:11" ht="11.25" customHeight="1" x14ac:dyDescent="0.25">
      <c r="C42" s="44"/>
      <c r="D42" s="44"/>
      <c r="E42" s="44"/>
      <c r="F42" s="44"/>
      <c r="G42" s="44"/>
      <c r="H42" s="44"/>
      <c r="I42" s="44"/>
      <c r="J42" s="44"/>
      <c r="K42" s="44"/>
    </row>
    <row r="43" spans="1:11" ht="11.25" customHeight="1" x14ac:dyDescent="0.25">
      <c r="A43" s="31" t="str">
        <f>head27a</f>
        <v>References</v>
      </c>
      <c r="B43" s="295"/>
      <c r="C43" s="296"/>
      <c r="D43" s="296"/>
      <c r="E43" s="296"/>
      <c r="F43" s="296"/>
      <c r="G43" s="296"/>
      <c r="H43" s="296"/>
      <c r="I43" s="296"/>
      <c r="J43" s="296"/>
      <c r="K43" s="296"/>
    </row>
    <row r="44" spans="1:11" ht="11.25" customHeight="1" x14ac:dyDescent="0.25">
      <c r="A44" s="41" t="s">
        <v>520</v>
      </c>
      <c r="B44" s="295"/>
      <c r="C44" s="297"/>
      <c r="D44" s="297"/>
      <c r="E44" s="297"/>
      <c r="F44" s="297"/>
      <c r="G44" s="297"/>
      <c r="H44" s="297"/>
      <c r="I44" s="297"/>
      <c r="J44" s="297"/>
      <c r="K44" s="297"/>
    </row>
    <row r="45" spans="1:11" ht="11.25" customHeight="1" x14ac:dyDescent="0.25">
      <c r="A45" s="41" t="s">
        <v>521</v>
      </c>
      <c r="B45" s="295"/>
      <c r="C45" s="297"/>
      <c r="D45" s="297"/>
      <c r="E45" s="297"/>
      <c r="F45" s="297"/>
      <c r="G45" s="297"/>
      <c r="H45" s="297"/>
      <c r="I45" s="297"/>
      <c r="J45" s="297"/>
      <c r="K45" s="297"/>
    </row>
    <row r="46" spans="1:11" ht="11.25" customHeight="1" x14ac:dyDescent="0.25">
      <c r="A46" s="41" t="s">
        <v>522</v>
      </c>
      <c r="B46" s="295"/>
      <c r="C46" s="297"/>
      <c r="D46" s="297"/>
      <c r="E46" s="297"/>
      <c r="F46" s="297"/>
      <c r="G46" s="297"/>
      <c r="H46" s="297"/>
      <c r="I46" s="297"/>
      <c r="J46" s="297"/>
      <c r="K46" s="297"/>
    </row>
    <row r="47" spans="1:11" ht="11.25" customHeight="1" x14ac:dyDescent="0.25">
      <c r="A47" s="41" t="s">
        <v>523</v>
      </c>
      <c r="B47" s="295"/>
      <c r="C47" s="297"/>
      <c r="D47" s="297"/>
      <c r="E47" s="297"/>
      <c r="F47" s="297"/>
      <c r="G47" s="297"/>
      <c r="H47" s="297"/>
      <c r="I47" s="297"/>
      <c r="J47" s="297"/>
      <c r="K47" s="297"/>
    </row>
    <row r="48" spans="1:11" ht="11.25" customHeight="1" x14ac:dyDescent="0.25">
      <c r="A48" s="41" t="s">
        <v>524</v>
      </c>
      <c r="B48" s="295"/>
      <c r="C48" s="297"/>
      <c r="D48" s="297"/>
      <c r="E48" s="297"/>
      <c r="F48" s="297"/>
      <c r="G48" s="297"/>
      <c r="H48" s="297"/>
      <c r="I48" s="297"/>
      <c r="J48" s="297"/>
      <c r="K48" s="297"/>
    </row>
    <row r="49" spans="1:11" ht="11.25" customHeight="1" x14ac:dyDescent="0.25">
      <c r="A49" s="41" t="s">
        <v>525</v>
      </c>
      <c r="B49" s="295"/>
      <c r="C49" s="297"/>
      <c r="D49" s="297"/>
      <c r="E49" s="297"/>
      <c r="F49" s="297"/>
      <c r="G49" s="297"/>
      <c r="H49" s="297"/>
      <c r="I49" s="297"/>
      <c r="J49" s="297"/>
      <c r="K49" s="297"/>
    </row>
    <row r="50" spans="1:11" ht="11.25" customHeight="1" x14ac:dyDescent="0.25">
      <c r="A50" s="41" t="s">
        <v>526</v>
      </c>
      <c r="B50" s="295"/>
      <c r="C50" s="297"/>
      <c r="D50" s="297"/>
      <c r="E50" s="297"/>
      <c r="F50" s="297"/>
      <c r="G50" s="297"/>
      <c r="H50" s="297"/>
      <c r="I50" s="297"/>
      <c r="J50" s="297"/>
      <c r="K50" s="297"/>
    </row>
  </sheetData>
  <sheetProtection sheet="1" objects="1" scenarios="1"/>
  <mergeCells count="3">
    <mergeCell ref="C2:E2"/>
    <mergeCell ref="F2:H2"/>
    <mergeCell ref="I2:K2"/>
  </mergeCells>
  <phoneticPr fontId="2" type="noConversion"/>
  <pageMargins left="0.75" right="0.75" top="1" bottom="1" header="0.5" footer="0.5"/>
  <pageSetup paperSize="9" scale="7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5">
    <tabColor rgb="FFFF0000"/>
    <pageSetUpPr fitToPage="1"/>
  </sheetPr>
  <dimension ref="A1:P240"/>
  <sheetViews>
    <sheetView showGridLines="0" zoomScaleNormal="100" workbookViewId="0">
      <pane xSplit="1" ySplit="4" topLeftCell="B230" activePane="bottomRight" state="frozen"/>
      <selection activeCell="A23" sqref="A23"/>
      <selection pane="topRight" activeCell="A23" sqref="A23"/>
      <selection pane="bottomLeft" activeCell="A23" sqref="A23"/>
      <selection pane="bottomRight" activeCell="B241" sqref="B241"/>
    </sheetView>
  </sheetViews>
  <sheetFormatPr defaultRowHeight="13.5" x14ac:dyDescent="0.25"/>
  <cols>
    <col min="1" max="1" width="41.7109375" style="17" customWidth="1"/>
    <col min="2" max="16" width="8.7109375" style="17" customWidth="1"/>
  </cols>
  <sheetData>
    <row r="1" spans="1:16" x14ac:dyDescent="0.25">
      <c r="A1" s="88" t="str">
        <f>_MEB8</f>
        <v>Harry Gwala Development Agency (Pty) Ltd - Supporting Table SD6 Budgeted monthly cash and revenue/expenditure</v>
      </c>
      <c r="C1" s="32"/>
    </row>
    <row r="2" spans="1:16" ht="25.5" x14ac:dyDescent="0.2">
      <c r="A2" s="541" t="str">
        <f>desc</f>
        <v>Description</v>
      </c>
      <c r="B2" s="106" t="str">
        <f>Head9</f>
        <v>Budget Year 2019/20</v>
      </c>
      <c r="C2" s="104"/>
      <c r="D2" s="104"/>
      <c r="E2" s="104"/>
      <c r="F2" s="104"/>
      <c r="G2" s="104"/>
      <c r="H2" s="104"/>
      <c r="I2" s="104"/>
      <c r="J2" s="104"/>
      <c r="K2" s="104"/>
      <c r="L2" s="104"/>
      <c r="M2" s="104"/>
      <c r="N2" s="106" t="str">
        <f>Head3a</f>
        <v>Medium Term Revenue and Expenditure Framework</v>
      </c>
      <c r="O2" s="104"/>
      <c r="P2" s="105"/>
    </row>
    <row r="3" spans="1:16" ht="12.75" x14ac:dyDescent="0.2">
      <c r="A3" s="542"/>
      <c r="B3" s="101" t="s">
        <v>273</v>
      </c>
      <c r="C3" s="79" t="s">
        <v>347</v>
      </c>
      <c r="D3" s="79" t="s">
        <v>348</v>
      </c>
      <c r="E3" s="79" t="s">
        <v>349</v>
      </c>
      <c r="F3" s="79" t="s">
        <v>350</v>
      </c>
      <c r="G3" s="89" t="s">
        <v>351</v>
      </c>
      <c r="H3" s="102" t="s">
        <v>352</v>
      </c>
      <c r="I3" s="123" t="s">
        <v>353</v>
      </c>
      <c r="J3" s="79" t="s">
        <v>354</v>
      </c>
      <c r="K3" s="79" t="s">
        <v>355</v>
      </c>
      <c r="L3" s="102" t="s">
        <v>356</v>
      </c>
      <c r="M3" s="123" t="s">
        <v>357</v>
      </c>
      <c r="N3" s="529" t="str">
        <f>Head9</f>
        <v>Budget Year 2019/20</v>
      </c>
      <c r="O3" s="525" t="str">
        <f>Head10</f>
        <v>Budget Year +1 2020/21</v>
      </c>
      <c r="P3" s="527" t="str">
        <f>Head11</f>
        <v>Budget Year +2 2021/22</v>
      </c>
    </row>
    <row r="4" spans="1:16" x14ac:dyDescent="0.25">
      <c r="A4" s="128" t="s">
        <v>186</v>
      </c>
      <c r="B4" s="127"/>
      <c r="C4" s="125"/>
      <c r="D4" s="125"/>
      <c r="E4" s="125"/>
      <c r="F4" s="125"/>
      <c r="G4" s="126"/>
      <c r="H4" s="125"/>
      <c r="I4" s="126"/>
      <c r="J4" s="125"/>
      <c r="K4" s="125"/>
      <c r="L4" s="125"/>
      <c r="M4" s="126"/>
      <c r="N4" s="530"/>
      <c r="O4" s="526"/>
      <c r="P4" s="528"/>
    </row>
    <row r="5" spans="1:16" x14ac:dyDescent="0.25">
      <c r="A5" s="19" t="s">
        <v>1023</v>
      </c>
      <c r="B5" s="24"/>
      <c r="C5" s="23"/>
      <c r="D5" s="23"/>
      <c r="E5" s="23"/>
      <c r="F5" s="23"/>
      <c r="G5" s="50"/>
      <c r="H5" s="23"/>
      <c r="I5" s="23"/>
      <c r="J5" s="23"/>
      <c r="K5" s="23"/>
      <c r="L5" s="23"/>
      <c r="M5" s="50"/>
      <c r="N5" s="24"/>
      <c r="O5" s="23"/>
      <c r="P5" s="83"/>
    </row>
    <row r="6" spans="1:16" x14ac:dyDescent="0.25">
      <c r="A6" s="20" t="s">
        <v>363</v>
      </c>
      <c r="B6" s="168"/>
      <c r="C6" s="166"/>
      <c r="D6" s="166"/>
      <c r="E6" s="166"/>
      <c r="F6" s="166"/>
      <c r="G6" s="193"/>
      <c r="H6" s="166"/>
      <c r="I6" s="166"/>
      <c r="J6" s="166"/>
      <c r="K6" s="166"/>
      <c r="L6" s="166"/>
      <c r="M6" s="50">
        <f t="shared" ref="M6:M21" si="0">N6-SUM(B6:L6)</f>
        <v>0</v>
      </c>
      <c r="N6" s="24">
        <f>'D2-FinPerf'!I5</f>
        <v>0</v>
      </c>
      <c r="O6" s="23">
        <f>'D2-FinPerf'!J5</f>
        <v>0</v>
      </c>
      <c r="P6" s="83">
        <f>'D2-FinPerf'!K5</f>
        <v>0</v>
      </c>
    </row>
    <row r="7" spans="1:16" x14ac:dyDescent="0.25">
      <c r="A7" s="20" t="s">
        <v>309</v>
      </c>
      <c r="B7" s="168"/>
      <c r="C7" s="166"/>
      <c r="D7" s="166"/>
      <c r="E7" s="166"/>
      <c r="F7" s="166"/>
      <c r="G7" s="193"/>
      <c r="H7" s="166"/>
      <c r="I7" s="166"/>
      <c r="J7" s="166"/>
      <c r="K7" s="166"/>
      <c r="L7" s="166"/>
      <c r="M7" s="50">
        <f t="shared" si="0"/>
        <v>0</v>
      </c>
      <c r="N7" s="24">
        <f>'D2-FinPerf'!I6</f>
        <v>0</v>
      </c>
      <c r="O7" s="23">
        <f>'D2-FinPerf'!J6</f>
        <v>0</v>
      </c>
      <c r="P7" s="83">
        <f>'D2-FinPerf'!K6</f>
        <v>0</v>
      </c>
    </row>
    <row r="8" spans="1:16" x14ac:dyDescent="0.25">
      <c r="A8" s="20" t="s">
        <v>310</v>
      </c>
      <c r="B8" s="168"/>
      <c r="C8" s="166"/>
      <c r="D8" s="166"/>
      <c r="E8" s="166"/>
      <c r="F8" s="166"/>
      <c r="G8" s="193"/>
      <c r="H8" s="166"/>
      <c r="I8" s="166"/>
      <c r="J8" s="166"/>
      <c r="K8" s="166"/>
      <c r="L8" s="166"/>
      <c r="M8" s="50">
        <f t="shared" si="0"/>
        <v>0</v>
      </c>
      <c r="N8" s="24">
        <f>'D2-FinPerf'!I7</f>
        <v>0</v>
      </c>
      <c r="O8" s="23">
        <f>'D2-FinPerf'!J7</f>
        <v>0</v>
      </c>
      <c r="P8" s="83">
        <f>'D2-FinPerf'!K7</f>
        <v>0</v>
      </c>
    </row>
    <row r="9" spans="1:16" x14ac:dyDescent="0.25">
      <c r="A9" s="20" t="s">
        <v>311</v>
      </c>
      <c r="B9" s="168"/>
      <c r="C9" s="166"/>
      <c r="D9" s="166"/>
      <c r="E9" s="166"/>
      <c r="F9" s="166"/>
      <c r="G9" s="193"/>
      <c r="H9" s="166"/>
      <c r="I9" s="166"/>
      <c r="J9" s="166"/>
      <c r="K9" s="166"/>
      <c r="L9" s="166"/>
      <c r="M9" s="50">
        <f t="shared" si="0"/>
        <v>0</v>
      </c>
      <c r="N9" s="24">
        <f>'D2-FinPerf'!I8</f>
        <v>0</v>
      </c>
      <c r="O9" s="23">
        <f>'D2-FinPerf'!J8</f>
        <v>0</v>
      </c>
      <c r="P9" s="83">
        <f>'D2-FinPerf'!K8</f>
        <v>0</v>
      </c>
    </row>
    <row r="10" spans="1:16" x14ac:dyDescent="0.25">
      <c r="A10" s="20" t="s">
        <v>773</v>
      </c>
      <c r="B10" s="168"/>
      <c r="C10" s="166"/>
      <c r="D10" s="166"/>
      <c r="E10" s="166"/>
      <c r="F10" s="166"/>
      <c r="G10" s="193"/>
      <c r="H10" s="166"/>
      <c r="I10" s="166"/>
      <c r="J10" s="166"/>
      <c r="K10" s="166"/>
      <c r="L10" s="166"/>
      <c r="M10" s="50">
        <f t="shared" si="0"/>
        <v>0</v>
      </c>
      <c r="N10" s="24">
        <f>'D2-FinPerf'!I9</f>
        <v>0</v>
      </c>
      <c r="O10" s="23">
        <f>'D2-FinPerf'!J9</f>
        <v>0</v>
      </c>
      <c r="P10" s="83">
        <f>'D2-FinPerf'!K9</f>
        <v>0</v>
      </c>
    </row>
    <row r="11" spans="1:16" ht="0.95" customHeight="1" x14ac:dyDescent="0.25">
      <c r="A11" s="20"/>
      <c r="B11" s="24"/>
      <c r="C11" s="23"/>
      <c r="D11" s="23"/>
      <c r="E11" s="23"/>
      <c r="F11" s="23"/>
      <c r="G11" s="50"/>
      <c r="H11" s="23"/>
      <c r="I11" s="23"/>
      <c r="J11" s="23"/>
      <c r="K11" s="23"/>
      <c r="L11" s="23"/>
      <c r="M11" s="50"/>
      <c r="N11" s="24"/>
      <c r="O11" s="23"/>
      <c r="P11" s="83"/>
    </row>
    <row r="12" spans="1:16" x14ac:dyDescent="0.25">
      <c r="A12" s="20" t="s">
        <v>408</v>
      </c>
      <c r="B12" s="168"/>
      <c r="C12" s="166"/>
      <c r="D12" s="166"/>
      <c r="E12" s="166"/>
      <c r="F12" s="166"/>
      <c r="G12" s="193"/>
      <c r="H12" s="166"/>
      <c r="I12" s="166"/>
      <c r="J12" s="166"/>
      <c r="K12" s="166"/>
      <c r="L12" s="166"/>
      <c r="M12" s="50">
        <f t="shared" si="0"/>
        <v>0</v>
      </c>
      <c r="N12" s="24">
        <f>'D2-FinPerf'!I11</f>
        <v>0</v>
      </c>
      <c r="O12" s="23">
        <f>'D2-FinPerf'!J11</f>
        <v>0</v>
      </c>
      <c r="P12" s="83">
        <f>'D2-FinPerf'!K11</f>
        <v>0</v>
      </c>
    </row>
    <row r="13" spans="1:16" x14ac:dyDescent="0.25">
      <c r="A13" s="20" t="s">
        <v>314</v>
      </c>
      <c r="B13" s="168">
        <v>44208.33</v>
      </c>
      <c r="C13" s="168">
        <v>44208.33</v>
      </c>
      <c r="D13" s="168">
        <v>44208.33</v>
      </c>
      <c r="E13" s="168">
        <v>44208.33</v>
      </c>
      <c r="F13" s="168">
        <v>44208.33</v>
      </c>
      <c r="G13" s="168">
        <v>44208.33</v>
      </c>
      <c r="H13" s="168">
        <v>44208.33</v>
      </c>
      <c r="I13" s="168">
        <v>44208.33</v>
      </c>
      <c r="J13" s="168">
        <v>44208.33</v>
      </c>
      <c r="K13" s="168">
        <v>44208.33</v>
      </c>
      <c r="L13" s="168">
        <v>44208.33</v>
      </c>
      <c r="M13" s="50">
        <f t="shared" si="0"/>
        <v>196708.36999999988</v>
      </c>
      <c r="N13" s="24">
        <f>'D2-FinPerf'!I12</f>
        <v>683000</v>
      </c>
      <c r="O13" s="23">
        <f>'D2-FinPerf'!J12</f>
        <v>717150</v>
      </c>
      <c r="P13" s="83">
        <f>'D2-FinPerf'!K12</f>
        <v>753007.5</v>
      </c>
    </row>
    <row r="14" spans="1:16" x14ac:dyDescent="0.25">
      <c r="A14" s="20" t="s">
        <v>315</v>
      </c>
      <c r="B14" s="168"/>
      <c r="C14" s="166"/>
      <c r="D14" s="166"/>
      <c r="E14" s="166"/>
      <c r="F14" s="166"/>
      <c r="G14" s="193"/>
      <c r="H14" s="166"/>
      <c r="I14" s="166"/>
      <c r="J14" s="166"/>
      <c r="K14" s="166"/>
      <c r="L14" s="166"/>
      <c r="M14" s="50">
        <f t="shared" si="0"/>
        <v>0</v>
      </c>
      <c r="N14" s="24">
        <f>'D2-FinPerf'!I13</f>
        <v>0</v>
      </c>
      <c r="O14" s="23">
        <f>'D2-FinPerf'!J13</f>
        <v>0</v>
      </c>
      <c r="P14" s="83">
        <f>'D2-FinPerf'!K13</f>
        <v>0</v>
      </c>
    </row>
    <row r="15" spans="1:16" x14ac:dyDescent="0.25">
      <c r="A15" s="20" t="s">
        <v>359</v>
      </c>
      <c r="B15" s="168"/>
      <c r="C15" s="166"/>
      <c r="D15" s="166"/>
      <c r="E15" s="166"/>
      <c r="F15" s="166"/>
      <c r="G15" s="193"/>
      <c r="H15" s="166"/>
      <c r="I15" s="166"/>
      <c r="J15" s="166"/>
      <c r="K15" s="166"/>
      <c r="L15" s="166"/>
      <c r="M15" s="50">
        <f t="shared" si="0"/>
        <v>0</v>
      </c>
      <c r="N15" s="24">
        <f>'D2-FinPerf'!I14</f>
        <v>0</v>
      </c>
      <c r="O15" s="23">
        <f>'D2-FinPerf'!J14</f>
        <v>0</v>
      </c>
      <c r="P15" s="83">
        <f>'D2-FinPerf'!K14</f>
        <v>0</v>
      </c>
    </row>
    <row r="16" spans="1:16" x14ac:dyDescent="0.25">
      <c r="A16" s="20" t="s">
        <v>853</v>
      </c>
      <c r="B16" s="168"/>
      <c r="C16" s="166"/>
      <c r="D16" s="166"/>
      <c r="E16" s="166"/>
      <c r="F16" s="166"/>
      <c r="G16" s="193"/>
      <c r="H16" s="166"/>
      <c r="I16" s="166"/>
      <c r="J16" s="166"/>
      <c r="K16" s="166"/>
      <c r="L16" s="166"/>
      <c r="M16" s="50">
        <f t="shared" si="0"/>
        <v>0</v>
      </c>
      <c r="N16" s="24">
        <f>'D2-FinPerf'!I15</f>
        <v>0</v>
      </c>
      <c r="O16" s="23">
        <f>'D2-FinPerf'!J15</f>
        <v>0</v>
      </c>
      <c r="P16" s="83">
        <f>'D2-FinPerf'!K15</f>
        <v>0</v>
      </c>
    </row>
    <row r="17" spans="1:16" x14ac:dyDescent="0.25">
      <c r="A17" s="20" t="s">
        <v>316</v>
      </c>
      <c r="B17" s="168"/>
      <c r="C17" s="166"/>
      <c r="D17" s="166"/>
      <c r="E17" s="166"/>
      <c r="F17" s="166"/>
      <c r="G17" s="193"/>
      <c r="H17" s="166"/>
      <c r="I17" s="166"/>
      <c r="J17" s="166"/>
      <c r="K17" s="166"/>
      <c r="L17" s="166"/>
      <c r="M17" s="50">
        <f t="shared" si="0"/>
        <v>0</v>
      </c>
      <c r="N17" s="24">
        <f>'D2-FinPerf'!I16</f>
        <v>0</v>
      </c>
      <c r="O17" s="23">
        <f>'D2-FinPerf'!J16</f>
        <v>0</v>
      </c>
      <c r="P17" s="83">
        <f>'D2-FinPerf'!K16</f>
        <v>0</v>
      </c>
    </row>
    <row r="18" spans="1:16" x14ac:dyDescent="0.25">
      <c r="A18" s="20" t="s">
        <v>116</v>
      </c>
      <c r="B18" s="168"/>
      <c r="C18" s="166"/>
      <c r="D18" s="166"/>
      <c r="E18" s="166"/>
      <c r="F18" s="166"/>
      <c r="G18" s="193"/>
      <c r="H18" s="166"/>
      <c r="I18" s="166"/>
      <c r="J18" s="166"/>
      <c r="K18" s="166"/>
      <c r="L18" s="166"/>
      <c r="M18" s="50">
        <f t="shared" si="0"/>
        <v>0</v>
      </c>
      <c r="N18" s="24">
        <f>'D2-FinPerf'!I17</f>
        <v>0</v>
      </c>
      <c r="O18" s="23">
        <f>'D2-FinPerf'!J17</f>
        <v>0</v>
      </c>
      <c r="P18" s="83">
        <f>'D2-FinPerf'!K17</f>
        <v>0</v>
      </c>
    </row>
    <row r="19" spans="1:16" x14ac:dyDescent="0.25">
      <c r="A19" s="20" t="s">
        <v>854</v>
      </c>
      <c r="B19" s="168">
        <v>1283333.33</v>
      </c>
      <c r="C19" s="168">
        <v>1283333.33</v>
      </c>
      <c r="D19" s="168">
        <v>1283333.33</v>
      </c>
      <c r="E19" s="168">
        <v>1283333.33</v>
      </c>
      <c r="F19" s="168">
        <v>1283333.33</v>
      </c>
      <c r="G19" s="168">
        <v>1283333.33</v>
      </c>
      <c r="H19" s="168">
        <v>1283333.33</v>
      </c>
      <c r="I19" s="168">
        <v>1283333.33</v>
      </c>
      <c r="J19" s="168">
        <v>1283333.33</v>
      </c>
      <c r="K19" s="168">
        <v>1283333.33</v>
      </c>
      <c r="L19" s="168">
        <v>1283333.33</v>
      </c>
      <c r="M19" s="50">
        <f t="shared" si="0"/>
        <v>883333.36999999918</v>
      </c>
      <c r="N19" s="24">
        <f>'D2-FinPerf'!I18</f>
        <v>15000000</v>
      </c>
      <c r="O19" s="23">
        <f>'D2-FinPerf'!J18</f>
        <v>17000000</v>
      </c>
      <c r="P19" s="83">
        <f>'D2-FinPerf'!K18</f>
        <v>20000000</v>
      </c>
    </row>
    <row r="20" spans="1:16" x14ac:dyDescent="0.25">
      <c r="A20" s="20" t="s">
        <v>20</v>
      </c>
      <c r="B20" s="168">
        <v>1250</v>
      </c>
      <c r="C20" s="168">
        <v>1250</v>
      </c>
      <c r="D20" s="168">
        <v>1250</v>
      </c>
      <c r="E20" s="168">
        <v>1250</v>
      </c>
      <c r="F20" s="168">
        <v>1250</v>
      </c>
      <c r="G20" s="168">
        <v>1250</v>
      </c>
      <c r="H20" s="168">
        <v>1250</v>
      </c>
      <c r="I20" s="168">
        <v>1250</v>
      </c>
      <c r="J20" s="168">
        <v>1250</v>
      </c>
      <c r="K20" s="168">
        <v>1250</v>
      </c>
      <c r="L20" s="168">
        <v>1250</v>
      </c>
      <c r="M20" s="50">
        <f t="shared" si="0"/>
        <v>3750</v>
      </c>
      <c r="N20" s="24">
        <f>'D2-FinPerf'!I19</f>
        <v>17500</v>
      </c>
      <c r="O20" s="23">
        <f>'D2-FinPerf'!J19</f>
        <v>18375</v>
      </c>
      <c r="P20" s="83">
        <f>'D2-FinPerf'!K19</f>
        <v>19293.75</v>
      </c>
    </row>
    <row r="21" spans="1:16" x14ac:dyDescent="0.25">
      <c r="A21" s="20" t="s">
        <v>317</v>
      </c>
      <c r="B21" s="168"/>
      <c r="C21" s="166"/>
      <c r="D21" s="166"/>
      <c r="E21" s="166"/>
      <c r="F21" s="166"/>
      <c r="G21" s="193"/>
      <c r="H21" s="166"/>
      <c r="I21" s="166"/>
      <c r="J21" s="166"/>
      <c r="K21" s="166"/>
      <c r="L21" s="166"/>
      <c r="M21" s="50">
        <f t="shared" si="0"/>
        <v>0</v>
      </c>
      <c r="N21" s="24">
        <f>'D2-FinPerf'!I20</f>
        <v>0</v>
      </c>
      <c r="O21" s="23">
        <f>'D2-FinPerf'!J20</f>
        <v>0</v>
      </c>
      <c r="P21" s="83">
        <f>'D2-FinPerf'!K20</f>
        <v>0</v>
      </c>
    </row>
    <row r="22" spans="1:16" x14ac:dyDescent="0.25">
      <c r="A22" s="47" t="s">
        <v>499</v>
      </c>
      <c r="B22" s="39">
        <f>SUM(B6:B10)+SUM(B12:B21)</f>
        <v>1328791.6600000001</v>
      </c>
      <c r="C22" s="38">
        <f t="shared" ref="C22:P22" si="1">SUM(C6:C10)+SUM(C12:C21)</f>
        <v>1328791.6600000001</v>
      </c>
      <c r="D22" s="38">
        <f t="shared" si="1"/>
        <v>1328791.6600000001</v>
      </c>
      <c r="E22" s="38">
        <f t="shared" si="1"/>
        <v>1328791.6600000001</v>
      </c>
      <c r="F22" s="38">
        <f t="shared" si="1"/>
        <v>1328791.6600000001</v>
      </c>
      <c r="G22" s="120">
        <f t="shared" si="1"/>
        <v>1328791.6600000001</v>
      </c>
      <c r="H22" s="38">
        <f t="shared" si="1"/>
        <v>1328791.6600000001</v>
      </c>
      <c r="I22" s="38">
        <f t="shared" si="1"/>
        <v>1328791.6600000001</v>
      </c>
      <c r="J22" s="38">
        <f t="shared" si="1"/>
        <v>1328791.6600000001</v>
      </c>
      <c r="K22" s="38">
        <f t="shared" si="1"/>
        <v>1328791.6600000001</v>
      </c>
      <c r="L22" s="38">
        <f t="shared" si="1"/>
        <v>1328791.6600000001</v>
      </c>
      <c r="M22" s="120">
        <f t="shared" si="1"/>
        <v>1083791.7399999991</v>
      </c>
      <c r="N22" s="39">
        <f t="shared" si="1"/>
        <v>15700500</v>
      </c>
      <c r="O22" s="38">
        <f t="shared" si="1"/>
        <v>17735525</v>
      </c>
      <c r="P22" s="84">
        <f t="shared" si="1"/>
        <v>20772301.25</v>
      </c>
    </row>
    <row r="23" spans="1:16" x14ac:dyDescent="0.25">
      <c r="A23" s="45"/>
      <c r="B23" s="24"/>
      <c r="C23" s="23"/>
      <c r="D23" s="23"/>
      <c r="E23" s="23"/>
      <c r="F23" s="23"/>
      <c r="G23" s="50"/>
      <c r="H23" s="23"/>
      <c r="I23" s="23"/>
      <c r="J23" s="23"/>
      <c r="K23" s="23"/>
      <c r="L23" s="23"/>
      <c r="M23" s="50"/>
      <c r="N23" s="24"/>
      <c r="O23" s="23"/>
      <c r="P23" s="83"/>
    </row>
    <row r="24" spans="1:16" x14ac:dyDescent="0.25">
      <c r="A24" s="19" t="s">
        <v>1024</v>
      </c>
      <c r="B24" s="24"/>
      <c r="C24" s="23"/>
      <c r="D24" s="23"/>
      <c r="E24" s="23"/>
      <c r="F24" s="23"/>
      <c r="G24" s="50"/>
      <c r="H24" s="23"/>
      <c r="I24" s="23"/>
      <c r="J24" s="23"/>
      <c r="K24" s="23"/>
      <c r="L24" s="23"/>
      <c r="M24" s="50"/>
      <c r="N24" s="24"/>
      <c r="O24" s="23"/>
      <c r="P24" s="83"/>
    </row>
    <row r="25" spans="1:16" x14ac:dyDescent="0.25">
      <c r="A25" s="20" t="s">
        <v>318</v>
      </c>
      <c r="B25" s="168">
        <v>635958.32999999996</v>
      </c>
      <c r="C25" s="168">
        <v>635958.32999999996</v>
      </c>
      <c r="D25" s="168">
        <v>635958.32999999996</v>
      </c>
      <c r="E25" s="168">
        <v>635958.32999999996</v>
      </c>
      <c r="F25" s="168">
        <v>635958.32999999996</v>
      </c>
      <c r="G25" s="168">
        <v>635958.32999999996</v>
      </c>
      <c r="H25" s="168">
        <v>635958.32999999996</v>
      </c>
      <c r="I25" s="168">
        <v>635958.32999999996</v>
      </c>
      <c r="J25" s="168">
        <v>635958.32999999996</v>
      </c>
      <c r="K25" s="168">
        <v>635958.32999999996</v>
      </c>
      <c r="L25" s="168">
        <v>635958.32999999996</v>
      </c>
      <c r="M25" s="50">
        <f t="shared" ref="M25:M35" si="2">N25-SUM(B25:L25)</f>
        <v>635958.37000000011</v>
      </c>
      <c r="N25" s="24">
        <f>'D2-FinPerf'!I24</f>
        <v>7631500</v>
      </c>
      <c r="O25" s="23">
        <f>'D2-FinPerf'!J24</f>
        <v>8013075</v>
      </c>
      <c r="P25" s="83">
        <f>'D2-FinPerf'!K24</f>
        <v>8413728.75</v>
      </c>
    </row>
    <row r="26" spans="1:16" x14ac:dyDescent="0.25">
      <c r="A26" s="20" t="s">
        <v>2</v>
      </c>
      <c r="B26" s="168">
        <v>33333.33</v>
      </c>
      <c r="C26" s="168">
        <v>33333.33</v>
      </c>
      <c r="D26" s="168">
        <v>33333.33</v>
      </c>
      <c r="E26" s="168">
        <v>33333.33</v>
      </c>
      <c r="F26" s="168">
        <v>33333.33</v>
      </c>
      <c r="G26" s="168">
        <v>33333.33</v>
      </c>
      <c r="H26" s="168">
        <v>33333.33</v>
      </c>
      <c r="I26" s="168">
        <v>33333.33</v>
      </c>
      <c r="J26" s="168">
        <v>33333.33</v>
      </c>
      <c r="K26" s="168">
        <v>33333.33</v>
      </c>
      <c r="L26" s="168">
        <v>33333.33</v>
      </c>
      <c r="M26" s="50">
        <f t="shared" si="2"/>
        <v>33333.369999999879</v>
      </c>
      <c r="N26" s="24">
        <f>'D2-FinPerf'!I25</f>
        <v>400000</v>
      </c>
      <c r="O26" s="23">
        <f>'D2-FinPerf'!J25</f>
        <v>420000</v>
      </c>
      <c r="P26" s="83">
        <f>'D2-FinPerf'!K25</f>
        <v>441000</v>
      </c>
    </row>
    <row r="27" spans="1:16" x14ac:dyDescent="0.25">
      <c r="A27" s="20" t="s">
        <v>138</v>
      </c>
      <c r="B27" s="168"/>
      <c r="C27" s="166"/>
      <c r="D27" s="166"/>
      <c r="E27" s="166"/>
      <c r="F27" s="166"/>
      <c r="G27" s="193"/>
      <c r="H27" s="166"/>
      <c r="I27" s="166"/>
      <c r="J27" s="166"/>
      <c r="K27" s="166"/>
      <c r="L27" s="166"/>
      <c r="M27" s="50">
        <f t="shared" si="2"/>
        <v>0</v>
      </c>
      <c r="N27" s="24">
        <f>'D2-FinPerf'!I26</f>
        <v>0</v>
      </c>
      <c r="O27" s="23">
        <f>'D2-FinPerf'!J26</f>
        <v>0</v>
      </c>
      <c r="P27" s="83">
        <f>'D2-FinPerf'!K26</f>
        <v>0</v>
      </c>
    </row>
    <row r="28" spans="1:16" x14ac:dyDescent="0.25">
      <c r="A28" s="20" t="s">
        <v>181</v>
      </c>
      <c r="B28" s="168">
        <v>62500</v>
      </c>
      <c r="C28" s="168">
        <v>62500</v>
      </c>
      <c r="D28" s="168">
        <v>62500</v>
      </c>
      <c r="E28" s="168">
        <v>62500</v>
      </c>
      <c r="F28" s="168">
        <v>62500</v>
      </c>
      <c r="G28" s="168">
        <v>62500</v>
      </c>
      <c r="H28" s="168">
        <v>62500</v>
      </c>
      <c r="I28" s="168">
        <v>62500</v>
      </c>
      <c r="J28" s="168">
        <v>62500</v>
      </c>
      <c r="K28" s="168">
        <v>62500</v>
      </c>
      <c r="L28" s="168">
        <v>62500</v>
      </c>
      <c r="M28" s="50">
        <f t="shared" si="2"/>
        <v>62500</v>
      </c>
      <c r="N28" s="24">
        <f>'D2-FinPerf'!I27</f>
        <v>750000</v>
      </c>
      <c r="O28" s="23">
        <f>'D2-FinPerf'!J27</f>
        <v>787500</v>
      </c>
      <c r="P28" s="83">
        <f>'D2-FinPerf'!K27</f>
        <v>826875</v>
      </c>
    </row>
    <row r="29" spans="1:16" x14ac:dyDescent="0.25">
      <c r="A29" s="20" t="s">
        <v>19</v>
      </c>
      <c r="B29" s="168">
        <v>1000</v>
      </c>
      <c r="C29" s="168">
        <v>1000</v>
      </c>
      <c r="D29" s="168">
        <v>1000</v>
      </c>
      <c r="E29" s="168">
        <v>1000</v>
      </c>
      <c r="F29" s="168">
        <v>1000</v>
      </c>
      <c r="G29" s="168">
        <v>1000</v>
      </c>
      <c r="H29" s="168">
        <v>1000</v>
      </c>
      <c r="I29" s="168">
        <v>1000</v>
      </c>
      <c r="J29" s="168">
        <v>1000</v>
      </c>
      <c r="K29" s="168">
        <v>1000</v>
      </c>
      <c r="L29" s="168">
        <v>1000</v>
      </c>
      <c r="M29" s="50">
        <f t="shared" si="2"/>
        <v>1000</v>
      </c>
      <c r="N29" s="24">
        <f>'D2-FinPerf'!I28</f>
        <v>12000</v>
      </c>
      <c r="O29" s="23">
        <f>'D2-FinPerf'!J28</f>
        <v>12600</v>
      </c>
      <c r="P29" s="83">
        <f>'D2-FinPerf'!K28</f>
        <v>13230</v>
      </c>
    </row>
    <row r="30" spans="1:16" x14ac:dyDescent="0.25">
      <c r="A30" s="20" t="s">
        <v>531</v>
      </c>
      <c r="B30" s="168"/>
      <c r="C30" s="166"/>
      <c r="D30" s="166"/>
      <c r="E30" s="166"/>
      <c r="F30" s="166"/>
      <c r="G30" s="193"/>
      <c r="H30" s="166"/>
      <c r="I30" s="166"/>
      <c r="J30" s="166"/>
      <c r="K30" s="166"/>
      <c r="L30" s="166"/>
      <c r="M30" s="50">
        <f t="shared" si="2"/>
        <v>0</v>
      </c>
      <c r="N30" s="24">
        <f>'D2-FinPerf'!I29</f>
        <v>0</v>
      </c>
      <c r="O30" s="23">
        <f>'D2-FinPerf'!J29</f>
        <v>0</v>
      </c>
      <c r="P30" s="83">
        <f>'D2-FinPerf'!K29</f>
        <v>0</v>
      </c>
    </row>
    <row r="31" spans="1:16" x14ac:dyDescent="0.25">
      <c r="A31" s="20" t="s">
        <v>358</v>
      </c>
      <c r="B31" s="168"/>
      <c r="C31" s="166"/>
      <c r="D31" s="166"/>
      <c r="E31" s="166"/>
      <c r="F31" s="166"/>
      <c r="G31" s="193"/>
      <c r="H31" s="166"/>
      <c r="I31" s="166"/>
      <c r="J31" s="166"/>
      <c r="K31" s="166"/>
      <c r="L31" s="166"/>
      <c r="M31" s="50">
        <f t="shared" si="2"/>
        <v>0</v>
      </c>
      <c r="N31" s="24">
        <f>'D2-FinPerf'!I30</f>
        <v>0</v>
      </c>
      <c r="O31" s="23">
        <f>'D2-FinPerf'!J30</f>
        <v>0</v>
      </c>
      <c r="P31" s="83">
        <f>'D2-FinPerf'!K30</f>
        <v>0</v>
      </c>
    </row>
    <row r="32" spans="1:16" x14ac:dyDescent="0.25">
      <c r="A32" s="20" t="s">
        <v>320</v>
      </c>
      <c r="B32" s="168">
        <v>71666.67</v>
      </c>
      <c r="C32" s="168">
        <v>71666.67</v>
      </c>
      <c r="D32" s="168">
        <v>71666.67</v>
      </c>
      <c r="E32" s="168">
        <v>71666.67</v>
      </c>
      <c r="F32" s="168">
        <v>71666.67</v>
      </c>
      <c r="G32" s="168">
        <v>71666.67</v>
      </c>
      <c r="H32" s="168">
        <v>71666.67</v>
      </c>
      <c r="I32" s="168">
        <v>71666.67</v>
      </c>
      <c r="J32" s="168">
        <v>71666.67</v>
      </c>
      <c r="K32" s="168">
        <v>71666.67</v>
      </c>
      <c r="L32" s="168">
        <v>71666.67</v>
      </c>
      <c r="M32" s="50">
        <f t="shared" si="2"/>
        <v>71666.629999999888</v>
      </c>
      <c r="N32" s="24">
        <f>'D2-FinPerf'!I31</f>
        <v>860000</v>
      </c>
      <c r="O32" s="23">
        <f>'D2-FinPerf'!J31</f>
        <v>903000</v>
      </c>
      <c r="P32" s="83">
        <f>'D2-FinPerf'!K31</f>
        <v>948150</v>
      </c>
    </row>
    <row r="33" spans="1:16" x14ac:dyDescent="0.25">
      <c r="A33" s="20" t="s">
        <v>854</v>
      </c>
      <c r="B33" s="168"/>
      <c r="C33" s="166"/>
      <c r="D33" s="166"/>
      <c r="E33" s="166"/>
      <c r="F33" s="166"/>
      <c r="G33" s="193"/>
      <c r="H33" s="166"/>
      <c r="I33" s="166"/>
      <c r="J33" s="166"/>
      <c r="K33" s="166"/>
      <c r="L33" s="166"/>
      <c r="M33" s="50">
        <f t="shared" si="2"/>
        <v>0</v>
      </c>
      <c r="N33" s="24">
        <f>'D2-FinPerf'!I32</f>
        <v>0</v>
      </c>
      <c r="O33" s="23">
        <f>'D2-FinPerf'!J32</f>
        <v>0</v>
      </c>
      <c r="P33" s="83">
        <f>'D2-FinPerf'!K32</f>
        <v>0</v>
      </c>
    </row>
    <row r="34" spans="1:16" x14ac:dyDescent="0.25">
      <c r="A34" s="20" t="s">
        <v>6</v>
      </c>
      <c r="B34" s="168">
        <v>505583.33</v>
      </c>
      <c r="C34" s="168">
        <v>505583.33</v>
      </c>
      <c r="D34" s="168">
        <v>505583.33</v>
      </c>
      <c r="E34" s="168">
        <v>505583.33</v>
      </c>
      <c r="F34" s="168">
        <v>505583.33</v>
      </c>
      <c r="G34" s="168">
        <v>505583.33</v>
      </c>
      <c r="H34" s="168">
        <v>505583.33</v>
      </c>
      <c r="I34" s="168">
        <v>505583.33</v>
      </c>
      <c r="J34" s="168">
        <v>505583.33</v>
      </c>
      <c r="K34" s="168">
        <v>505583.33</v>
      </c>
      <c r="L34" s="168">
        <v>505583.33</v>
      </c>
      <c r="M34" s="50">
        <f t="shared" si="2"/>
        <v>485583.37000000011</v>
      </c>
      <c r="N34" s="24">
        <f>'D2-FinPerf'!I33</f>
        <v>6047000</v>
      </c>
      <c r="O34" s="23">
        <f>'D2-FinPerf'!J33</f>
        <v>7599350</v>
      </c>
      <c r="P34" s="83">
        <f>'D2-FinPerf'!K33</f>
        <v>10129317.5</v>
      </c>
    </row>
    <row r="35" spans="1:16" x14ac:dyDescent="0.25">
      <c r="A35" s="20" t="s">
        <v>112</v>
      </c>
      <c r="B35" s="168"/>
      <c r="C35" s="166"/>
      <c r="D35" s="166"/>
      <c r="E35" s="166"/>
      <c r="F35" s="166"/>
      <c r="G35" s="193"/>
      <c r="H35" s="166"/>
      <c r="I35" s="166"/>
      <c r="J35" s="166"/>
      <c r="K35" s="166"/>
      <c r="L35" s="166"/>
      <c r="M35" s="50">
        <f t="shared" si="2"/>
        <v>0</v>
      </c>
      <c r="N35" s="24">
        <f>'D2-FinPerf'!I34</f>
        <v>0</v>
      </c>
      <c r="O35" s="23">
        <f>'D2-FinPerf'!J34</f>
        <v>0</v>
      </c>
      <c r="P35" s="83">
        <f>'D2-FinPerf'!K34</f>
        <v>0</v>
      </c>
    </row>
    <row r="36" spans="1:16" x14ac:dyDescent="0.25">
      <c r="A36" s="47" t="s">
        <v>47</v>
      </c>
      <c r="B36" s="39">
        <f t="shared" ref="B36:P36" si="3">SUM(B25:B35)</f>
        <v>1310041.6599999999</v>
      </c>
      <c r="C36" s="38">
        <f t="shared" si="3"/>
        <v>1310041.6599999999</v>
      </c>
      <c r="D36" s="38">
        <f t="shared" si="3"/>
        <v>1310041.6599999999</v>
      </c>
      <c r="E36" s="38">
        <f t="shared" si="3"/>
        <v>1310041.6599999999</v>
      </c>
      <c r="F36" s="38">
        <f t="shared" si="3"/>
        <v>1310041.6599999999</v>
      </c>
      <c r="G36" s="120">
        <f t="shared" si="3"/>
        <v>1310041.6599999999</v>
      </c>
      <c r="H36" s="38">
        <f t="shared" si="3"/>
        <v>1310041.6599999999</v>
      </c>
      <c r="I36" s="38">
        <f t="shared" si="3"/>
        <v>1310041.6599999999</v>
      </c>
      <c r="J36" s="38">
        <f t="shared" si="3"/>
        <v>1310041.6599999999</v>
      </c>
      <c r="K36" s="38">
        <f t="shared" si="3"/>
        <v>1310041.6599999999</v>
      </c>
      <c r="L36" s="38">
        <f t="shared" si="3"/>
        <v>1310041.6599999999</v>
      </c>
      <c r="M36" s="120">
        <f t="shared" si="3"/>
        <v>1290041.74</v>
      </c>
      <c r="N36" s="39">
        <f t="shared" si="3"/>
        <v>15700500</v>
      </c>
      <c r="O36" s="38">
        <f t="shared" si="3"/>
        <v>17735525</v>
      </c>
      <c r="P36" s="84">
        <f t="shared" si="3"/>
        <v>20772301.25</v>
      </c>
    </row>
    <row r="38" spans="1:16" x14ac:dyDescent="0.25">
      <c r="A38" s="19" t="s">
        <v>830</v>
      </c>
    </row>
    <row r="39" spans="1:16" ht="6" customHeight="1" x14ac:dyDescent="0.25">
      <c r="A39" s="19"/>
    </row>
    <row r="40" spans="1:16" x14ac:dyDescent="0.25">
      <c r="A40" s="19" t="s">
        <v>162</v>
      </c>
      <c r="B40" s="154">
        <f>B41+B46+B50+B60+B71+B78+B86+B96+B102</f>
        <v>0</v>
      </c>
      <c r="C40" s="154">
        <f t="shared" ref="C40" si="4">C41+C46+C50+C60+C71+C78+C86+C96+C102</f>
        <v>0</v>
      </c>
      <c r="D40" s="154">
        <f>D41+D46+D50+D60+D71+D78+D86+D96+D102</f>
        <v>0</v>
      </c>
      <c r="E40" s="154">
        <f t="shared" ref="E40" si="5">E41+E46+E50+E60+E71+E78+E86+E96+E102</f>
        <v>0</v>
      </c>
      <c r="F40" s="154">
        <f>F41+F46+F50+F60+F71+F78+F86+F96+F102</f>
        <v>0</v>
      </c>
      <c r="G40" s="154">
        <f t="shared" ref="G40" si="6">G41+G46+G50+G60+G71+G78+G86+G96+G102</f>
        <v>0</v>
      </c>
      <c r="H40" s="154">
        <f>H41+H46+H50+H60+H71+H78+H86+H96+H102</f>
        <v>0</v>
      </c>
      <c r="I40" s="154">
        <f t="shared" ref="I40" si="7">I41+I46+I50+I60+I71+I78+I86+I96+I102</f>
        <v>0</v>
      </c>
      <c r="J40" s="154">
        <f>J41+J46+J50+J60+J71+J78+J86+J96+J102</f>
        <v>0</v>
      </c>
      <c r="K40" s="154">
        <f t="shared" ref="K40:L40" si="8">K41+K46+K50+K60+K71+K78+K86+K96+K102</f>
        <v>0</v>
      </c>
      <c r="L40" s="154">
        <f t="shared" si="8"/>
        <v>0</v>
      </c>
      <c r="M40" s="440">
        <f>N40-SUM(B40:L40)</f>
        <v>0</v>
      </c>
      <c r="N40" s="49">
        <f>'D3-Capex'!I6</f>
        <v>0</v>
      </c>
      <c r="O40" s="48">
        <f>'D3-Capex'!J6</f>
        <v>0</v>
      </c>
      <c r="P40" s="100">
        <f>'D3-Capex'!K6</f>
        <v>0</v>
      </c>
    </row>
    <row r="41" spans="1:16" x14ac:dyDescent="0.25">
      <c r="A41" s="20" t="s">
        <v>858</v>
      </c>
      <c r="B41" s="48">
        <f t="shared" ref="B41:K41" si="9">SUM(B42:B45)</f>
        <v>0</v>
      </c>
      <c r="C41" s="48">
        <f t="shared" si="9"/>
        <v>0</v>
      </c>
      <c r="D41" s="48">
        <f t="shared" si="9"/>
        <v>0</v>
      </c>
      <c r="E41" s="48">
        <f t="shared" si="9"/>
        <v>0</v>
      </c>
      <c r="F41" s="48">
        <f t="shared" si="9"/>
        <v>0</v>
      </c>
      <c r="G41" s="48">
        <f t="shared" si="9"/>
        <v>0</v>
      </c>
      <c r="H41" s="48">
        <f t="shared" si="9"/>
        <v>0</v>
      </c>
      <c r="I41" s="48">
        <f t="shared" si="9"/>
        <v>0</v>
      </c>
      <c r="J41" s="48">
        <f t="shared" si="9"/>
        <v>0</v>
      </c>
      <c r="K41" s="48">
        <f t="shared" si="9"/>
        <v>0</v>
      </c>
      <c r="L41" s="48">
        <f t="shared" ref="L41" si="10">SUM(L42:L45)</f>
        <v>0</v>
      </c>
      <c r="M41" s="22">
        <f t="shared" ref="M41:M104" si="11">N41-SUM(B41:L41)</f>
        <v>0</v>
      </c>
      <c r="N41" s="24">
        <f>'D3-Capex'!I7</f>
        <v>0</v>
      </c>
      <c r="O41" s="23">
        <f>'D3-Capex'!J7</f>
        <v>0</v>
      </c>
      <c r="P41" s="83">
        <f>'D3-Capex'!K7</f>
        <v>0</v>
      </c>
    </row>
    <row r="42" spans="1:16" x14ac:dyDescent="0.25">
      <c r="A42" s="238" t="s">
        <v>510</v>
      </c>
      <c r="B42" s="354"/>
      <c r="C42" s="354"/>
      <c r="D42" s="354"/>
      <c r="E42" s="354"/>
      <c r="F42" s="354"/>
      <c r="G42" s="354"/>
      <c r="H42" s="354"/>
      <c r="I42" s="354"/>
      <c r="J42" s="354"/>
      <c r="K42" s="354"/>
      <c r="L42" s="354"/>
      <c r="M42" s="22">
        <f t="shared" si="11"/>
        <v>0</v>
      </c>
      <c r="N42" s="24">
        <f>'D3-Capex'!I8</f>
        <v>0</v>
      </c>
      <c r="O42" s="23">
        <f>'D3-Capex'!J8</f>
        <v>0</v>
      </c>
      <c r="P42" s="83">
        <f>'D3-Capex'!K8</f>
        <v>0</v>
      </c>
    </row>
    <row r="43" spans="1:16" x14ac:dyDescent="0.25">
      <c r="A43" s="238" t="s">
        <v>859</v>
      </c>
      <c r="B43" s="354"/>
      <c r="C43" s="354"/>
      <c r="D43" s="354"/>
      <c r="E43" s="354"/>
      <c r="F43" s="354"/>
      <c r="G43" s="354"/>
      <c r="H43" s="354"/>
      <c r="I43" s="354"/>
      <c r="J43" s="354"/>
      <c r="K43" s="354"/>
      <c r="L43" s="354"/>
      <c r="M43" s="22">
        <f t="shared" si="11"/>
        <v>0</v>
      </c>
      <c r="N43" s="24">
        <f>'D3-Capex'!I9</f>
        <v>0</v>
      </c>
      <c r="O43" s="23">
        <f>'D3-Capex'!J9</f>
        <v>0</v>
      </c>
      <c r="P43" s="83">
        <f>'D3-Capex'!K9</f>
        <v>0</v>
      </c>
    </row>
    <row r="44" spans="1:16" x14ac:dyDescent="0.25">
      <c r="A44" s="238" t="s">
        <v>860</v>
      </c>
      <c r="B44" s="354"/>
      <c r="C44" s="354"/>
      <c r="D44" s="354"/>
      <c r="E44" s="354"/>
      <c r="F44" s="354"/>
      <c r="G44" s="354"/>
      <c r="H44" s="354"/>
      <c r="I44" s="354"/>
      <c r="J44" s="354"/>
      <c r="K44" s="354"/>
      <c r="L44" s="354"/>
      <c r="M44" s="22">
        <f t="shared" si="11"/>
        <v>0</v>
      </c>
      <c r="N44" s="24">
        <f>'D3-Capex'!I10</f>
        <v>0</v>
      </c>
      <c r="O44" s="23">
        <f>'D3-Capex'!J10</f>
        <v>0</v>
      </c>
      <c r="P44" s="83">
        <f>'D3-Capex'!K10</f>
        <v>0</v>
      </c>
    </row>
    <row r="45" spans="1:16" x14ac:dyDescent="0.25">
      <c r="A45" s="238" t="s">
        <v>861</v>
      </c>
      <c r="B45" s="354"/>
      <c r="C45" s="354"/>
      <c r="D45" s="354"/>
      <c r="E45" s="354"/>
      <c r="F45" s="354"/>
      <c r="G45" s="354"/>
      <c r="H45" s="354"/>
      <c r="I45" s="354"/>
      <c r="J45" s="354"/>
      <c r="K45" s="354"/>
      <c r="L45" s="354"/>
      <c r="M45" s="22">
        <f t="shared" si="11"/>
        <v>0</v>
      </c>
      <c r="N45" s="24">
        <f>'D3-Capex'!I11</f>
        <v>0</v>
      </c>
      <c r="O45" s="23">
        <f>'D3-Capex'!J11</f>
        <v>0</v>
      </c>
      <c r="P45" s="83">
        <f>'D3-Capex'!K11</f>
        <v>0</v>
      </c>
    </row>
    <row r="46" spans="1:16" x14ac:dyDescent="0.25">
      <c r="A46" s="20" t="s">
        <v>862</v>
      </c>
      <c r="B46" s="23">
        <f>SUM(B47:B49)</f>
        <v>0</v>
      </c>
      <c r="C46" s="23">
        <f t="shared" ref="C46" si="12">SUM(C47:C49)</f>
        <v>0</v>
      </c>
      <c r="D46" s="23">
        <f>SUM(D47:D49)</f>
        <v>0</v>
      </c>
      <c r="E46" s="23">
        <f t="shared" ref="E46" si="13">SUM(E47:E49)</f>
        <v>0</v>
      </c>
      <c r="F46" s="23">
        <f>SUM(F47:F49)</f>
        <v>0</v>
      </c>
      <c r="G46" s="23">
        <f t="shared" ref="G46" si="14">SUM(G47:G49)</f>
        <v>0</v>
      </c>
      <c r="H46" s="23">
        <f>SUM(H47:H49)</f>
        <v>0</v>
      </c>
      <c r="I46" s="23">
        <f t="shared" ref="I46" si="15">SUM(I47:I49)</f>
        <v>0</v>
      </c>
      <c r="J46" s="23">
        <f>SUM(J47:J49)</f>
        <v>0</v>
      </c>
      <c r="K46" s="23">
        <f t="shared" ref="K46:L46" si="16">SUM(K47:K49)</f>
        <v>0</v>
      </c>
      <c r="L46" s="23">
        <f t="shared" si="16"/>
        <v>0</v>
      </c>
      <c r="M46" s="22">
        <f t="shared" si="11"/>
        <v>0</v>
      </c>
      <c r="N46" s="24">
        <f>'D3-Capex'!I12</f>
        <v>0</v>
      </c>
      <c r="O46" s="23">
        <f>'D3-Capex'!J12</f>
        <v>0</v>
      </c>
      <c r="P46" s="83">
        <f>'D3-Capex'!K12</f>
        <v>0</v>
      </c>
    </row>
    <row r="47" spans="1:16" x14ac:dyDescent="0.25">
      <c r="A47" s="238" t="s">
        <v>863</v>
      </c>
      <c r="B47" s="354"/>
      <c r="C47" s="354"/>
      <c r="D47" s="354"/>
      <c r="E47" s="354"/>
      <c r="F47" s="354"/>
      <c r="G47" s="354"/>
      <c r="H47" s="354"/>
      <c r="I47" s="354"/>
      <c r="J47" s="354"/>
      <c r="K47" s="354"/>
      <c r="L47" s="354"/>
      <c r="M47" s="22">
        <f t="shared" si="11"/>
        <v>0</v>
      </c>
      <c r="N47" s="24">
        <f>'D3-Capex'!I13</f>
        <v>0</v>
      </c>
      <c r="O47" s="23">
        <f>'D3-Capex'!J13</f>
        <v>0</v>
      </c>
      <c r="P47" s="83">
        <f>'D3-Capex'!K13</f>
        <v>0</v>
      </c>
    </row>
    <row r="48" spans="1:16" x14ac:dyDescent="0.25">
      <c r="A48" s="238" t="s">
        <v>864</v>
      </c>
      <c r="B48" s="354"/>
      <c r="C48" s="354"/>
      <c r="D48" s="354"/>
      <c r="E48" s="354"/>
      <c r="F48" s="354"/>
      <c r="G48" s="354"/>
      <c r="H48" s="354"/>
      <c r="I48" s="354"/>
      <c r="J48" s="354"/>
      <c r="K48" s="354"/>
      <c r="L48" s="354"/>
      <c r="M48" s="22">
        <f t="shared" si="11"/>
        <v>0</v>
      </c>
      <c r="N48" s="24">
        <f>'D3-Capex'!I14</f>
        <v>0</v>
      </c>
      <c r="O48" s="23">
        <f>'D3-Capex'!J14</f>
        <v>0</v>
      </c>
      <c r="P48" s="83">
        <f>'D3-Capex'!K14</f>
        <v>0</v>
      </c>
    </row>
    <row r="49" spans="1:16" x14ac:dyDescent="0.25">
      <c r="A49" s="238" t="s">
        <v>865</v>
      </c>
      <c r="B49" s="354"/>
      <c r="C49" s="354"/>
      <c r="D49" s="354"/>
      <c r="E49" s="354"/>
      <c r="F49" s="354"/>
      <c r="G49" s="354"/>
      <c r="H49" s="354"/>
      <c r="I49" s="354"/>
      <c r="J49" s="354"/>
      <c r="K49" s="354"/>
      <c r="L49" s="354"/>
      <c r="M49" s="22">
        <f t="shared" si="11"/>
        <v>0</v>
      </c>
      <c r="N49" s="24">
        <f>'D3-Capex'!I15</f>
        <v>0</v>
      </c>
      <c r="O49" s="23">
        <f>'D3-Capex'!J15</f>
        <v>0</v>
      </c>
      <c r="P49" s="83">
        <f>'D3-Capex'!K15</f>
        <v>0</v>
      </c>
    </row>
    <row r="50" spans="1:16" x14ac:dyDescent="0.25">
      <c r="A50" s="20" t="s">
        <v>866</v>
      </c>
      <c r="B50" s="23">
        <f t="shared" ref="B50:K50" si="17">SUM(B51:B59)</f>
        <v>0</v>
      </c>
      <c r="C50" s="23">
        <f t="shared" si="17"/>
        <v>0</v>
      </c>
      <c r="D50" s="23">
        <f t="shared" si="17"/>
        <v>0</v>
      </c>
      <c r="E50" s="23">
        <f t="shared" si="17"/>
        <v>0</v>
      </c>
      <c r="F50" s="23">
        <f t="shared" si="17"/>
        <v>0</v>
      </c>
      <c r="G50" s="23">
        <f t="shared" si="17"/>
        <v>0</v>
      </c>
      <c r="H50" s="23">
        <f t="shared" si="17"/>
        <v>0</v>
      </c>
      <c r="I50" s="23">
        <f t="shared" si="17"/>
        <v>0</v>
      </c>
      <c r="J50" s="23">
        <f t="shared" si="17"/>
        <v>0</v>
      </c>
      <c r="K50" s="23">
        <f t="shared" si="17"/>
        <v>0</v>
      </c>
      <c r="L50" s="23">
        <f t="shared" ref="L50" si="18">SUM(L51:L59)</f>
        <v>0</v>
      </c>
      <c r="M50" s="22">
        <f t="shared" si="11"/>
        <v>0</v>
      </c>
      <c r="N50" s="24">
        <f>'D3-Capex'!I16</f>
        <v>0</v>
      </c>
      <c r="O50" s="23">
        <f>'D3-Capex'!J16</f>
        <v>0</v>
      </c>
      <c r="P50" s="83">
        <f>'D3-Capex'!K16</f>
        <v>0</v>
      </c>
    </row>
    <row r="51" spans="1:16" x14ac:dyDescent="0.25">
      <c r="A51" s="238" t="s">
        <v>867</v>
      </c>
      <c r="B51" s="354"/>
      <c r="C51" s="354"/>
      <c r="D51" s="354"/>
      <c r="E51" s="354"/>
      <c r="F51" s="354"/>
      <c r="G51" s="354"/>
      <c r="H51" s="354"/>
      <c r="I51" s="354"/>
      <c r="J51" s="354"/>
      <c r="K51" s="354"/>
      <c r="L51" s="354"/>
      <c r="M51" s="22">
        <f t="shared" si="11"/>
        <v>0</v>
      </c>
      <c r="N51" s="24">
        <f>'D3-Capex'!I17</f>
        <v>0</v>
      </c>
      <c r="O51" s="23">
        <f>'D3-Capex'!J17</f>
        <v>0</v>
      </c>
      <c r="P51" s="83">
        <f>'D3-Capex'!K17</f>
        <v>0</v>
      </c>
    </row>
    <row r="52" spans="1:16" x14ac:dyDescent="0.25">
      <c r="A52" s="238" t="s">
        <v>868</v>
      </c>
      <c r="B52" s="354"/>
      <c r="C52" s="354"/>
      <c r="D52" s="354"/>
      <c r="E52" s="354"/>
      <c r="F52" s="354"/>
      <c r="G52" s="354"/>
      <c r="H52" s="354"/>
      <c r="I52" s="354"/>
      <c r="J52" s="354"/>
      <c r="K52" s="354"/>
      <c r="L52" s="354"/>
      <c r="M52" s="22">
        <f t="shared" si="11"/>
        <v>0</v>
      </c>
      <c r="N52" s="24">
        <f>'D3-Capex'!I18</f>
        <v>0</v>
      </c>
      <c r="O52" s="23">
        <f>'D3-Capex'!J18</f>
        <v>0</v>
      </c>
      <c r="P52" s="83">
        <f>'D3-Capex'!K18</f>
        <v>0</v>
      </c>
    </row>
    <row r="53" spans="1:16" x14ac:dyDescent="0.25">
      <c r="A53" s="238" t="s">
        <v>869</v>
      </c>
      <c r="B53" s="354"/>
      <c r="C53" s="354"/>
      <c r="D53" s="354"/>
      <c r="E53" s="354"/>
      <c r="F53" s="354"/>
      <c r="G53" s="354"/>
      <c r="H53" s="354"/>
      <c r="I53" s="354"/>
      <c r="J53" s="354"/>
      <c r="K53" s="354"/>
      <c r="L53" s="354"/>
      <c r="M53" s="22">
        <f t="shared" si="11"/>
        <v>0</v>
      </c>
      <c r="N53" s="24">
        <f>'D3-Capex'!I19</f>
        <v>0</v>
      </c>
      <c r="O53" s="23">
        <f>'D3-Capex'!J19</f>
        <v>0</v>
      </c>
      <c r="P53" s="83">
        <f>'D3-Capex'!K19</f>
        <v>0</v>
      </c>
    </row>
    <row r="54" spans="1:16" x14ac:dyDescent="0.25">
      <c r="A54" s="238" t="s">
        <v>870</v>
      </c>
      <c r="B54" s="354"/>
      <c r="C54" s="354"/>
      <c r="D54" s="354"/>
      <c r="E54" s="354"/>
      <c r="F54" s="354"/>
      <c r="G54" s="354"/>
      <c r="H54" s="354"/>
      <c r="I54" s="354"/>
      <c r="J54" s="354"/>
      <c r="K54" s="354"/>
      <c r="L54" s="354"/>
      <c r="M54" s="22">
        <f t="shared" si="11"/>
        <v>0</v>
      </c>
      <c r="N54" s="24">
        <f>'D3-Capex'!I20</f>
        <v>0</v>
      </c>
      <c r="O54" s="23">
        <f>'D3-Capex'!J20</f>
        <v>0</v>
      </c>
      <c r="P54" s="83">
        <f>'D3-Capex'!K20</f>
        <v>0</v>
      </c>
    </row>
    <row r="55" spans="1:16" x14ac:dyDescent="0.25">
      <c r="A55" s="238" t="s">
        <v>871</v>
      </c>
      <c r="B55" s="354"/>
      <c r="C55" s="354"/>
      <c r="D55" s="354"/>
      <c r="E55" s="354"/>
      <c r="F55" s="354"/>
      <c r="G55" s="354"/>
      <c r="H55" s="354"/>
      <c r="I55" s="354"/>
      <c r="J55" s="354"/>
      <c r="K55" s="354"/>
      <c r="L55" s="354"/>
      <c r="M55" s="22">
        <f t="shared" si="11"/>
        <v>0</v>
      </c>
      <c r="N55" s="24">
        <f>'D3-Capex'!I21</f>
        <v>0</v>
      </c>
      <c r="O55" s="23">
        <f>'D3-Capex'!J21</f>
        <v>0</v>
      </c>
      <c r="P55" s="83">
        <f>'D3-Capex'!K21</f>
        <v>0</v>
      </c>
    </row>
    <row r="56" spans="1:16" x14ac:dyDescent="0.25">
      <c r="A56" s="238" t="s">
        <v>872</v>
      </c>
      <c r="B56" s="354"/>
      <c r="C56" s="354"/>
      <c r="D56" s="354"/>
      <c r="E56" s="354"/>
      <c r="F56" s="354"/>
      <c r="G56" s="354"/>
      <c r="H56" s="354"/>
      <c r="I56" s="354"/>
      <c r="J56" s="354"/>
      <c r="K56" s="354"/>
      <c r="L56" s="354"/>
      <c r="M56" s="22">
        <f t="shared" si="11"/>
        <v>0</v>
      </c>
      <c r="N56" s="24">
        <f>'D3-Capex'!I22</f>
        <v>0</v>
      </c>
      <c r="O56" s="23">
        <f>'D3-Capex'!J22</f>
        <v>0</v>
      </c>
      <c r="P56" s="83">
        <f>'D3-Capex'!K22</f>
        <v>0</v>
      </c>
    </row>
    <row r="57" spans="1:16" x14ac:dyDescent="0.25">
      <c r="A57" s="238" t="s">
        <v>873</v>
      </c>
      <c r="B57" s="354"/>
      <c r="C57" s="354"/>
      <c r="D57" s="354"/>
      <c r="E57" s="354"/>
      <c r="F57" s="354"/>
      <c r="G57" s="354"/>
      <c r="H57" s="354"/>
      <c r="I57" s="354"/>
      <c r="J57" s="354"/>
      <c r="K57" s="354"/>
      <c r="L57" s="354"/>
      <c r="M57" s="22">
        <f t="shared" si="11"/>
        <v>0</v>
      </c>
      <c r="N57" s="24">
        <f>'D3-Capex'!I23</f>
        <v>0</v>
      </c>
      <c r="O57" s="23">
        <f>'D3-Capex'!J23</f>
        <v>0</v>
      </c>
      <c r="P57" s="83">
        <f>'D3-Capex'!K23</f>
        <v>0</v>
      </c>
    </row>
    <row r="58" spans="1:16" x14ac:dyDescent="0.25">
      <c r="A58" s="238" t="s">
        <v>874</v>
      </c>
      <c r="B58" s="354"/>
      <c r="C58" s="354"/>
      <c r="D58" s="354"/>
      <c r="E58" s="354"/>
      <c r="F58" s="354"/>
      <c r="G58" s="354"/>
      <c r="H58" s="354"/>
      <c r="I58" s="354"/>
      <c r="J58" s="354"/>
      <c r="K58" s="354"/>
      <c r="L58" s="354"/>
      <c r="M58" s="22">
        <f t="shared" si="11"/>
        <v>0</v>
      </c>
      <c r="N58" s="24">
        <f>'D3-Capex'!I24</f>
        <v>0</v>
      </c>
      <c r="O58" s="23">
        <f>'D3-Capex'!J24</f>
        <v>0</v>
      </c>
      <c r="P58" s="83">
        <f>'D3-Capex'!K24</f>
        <v>0</v>
      </c>
    </row>
    <row r="59" spans="1:16" x14ac:dyDescent="0.25">
      <c r="A59" s="238" t="s">
        <v>861</v>
      </c>
      <c r="B59" s="354"/>
      <c r="C59" s="354"/>
      <c r="D59" s="354"/>
      <c r="E59" s="354"/>
      <c r="F59" s="354"/>
      <c r="G59" s="354"/>
      <c r="H59" s="354"/>
      <c r="I59" s="354"/>
      <c r="J59" s="354"/>
      <c r="K59" s="354"/>
      <c r="L59" s="354"/>
      <c r="M59" s="22">
        <f t="shared" si="11"/>
        <v>0</v>
      </c>
      <c r="N59" s="24">
        <f>'D3-Capex'!I25</f>
        <v>0</v>
      </c>
      <c r="O59" s="23">
        <f>'D3-Capex'!J25</f>
        <v>0</v>
      </c>
      <c r="P59" s="83">
        <f>'D3-Capex'!K25</f>
        <v>0</v>
      </c>
    </row>
    <row r="60" spans="1:16" x14ac:dyDescent="0.25">
      <c r="A60" s="20" t="s">
        <v>875</v>
      </c>
      <c r="B60" s="23">
        <f>SUM(B61:B70)</f>
        <v>0</v>
      </c>
      <c r="C60" s="23">
        <f t="shared" ref="C60" si="19">SUM(C61:C70)</f>
        <v>0</v>
      </c>
      <c r="D60" s="23">
        <f>SUM(D61:D70)</f>
        <v>0</v>
      </c>
      <c r="E60" s="23">
        <f t="shared" ref="E60" si="20">SUM(E61:E70)</f>
        <v>0</v>
      </c>
      <c r="F60" s="23">
        <f>SUM(F61:F70)</f>
        <v>0</v>
      </c>
      <c r="G60" s="23">
        <f t="shared" ref="G60" si="21">SUM(G61:G70)</f>
        <v>0</v>
      </c>
      <c r="H60" s="23">
        <f>SUM(H61:H70)</f>
        <v>0</v>
      </c>
      <c r="I60" s="23">
        <f t="shared" ref="I60" si="22">SUM(I61:I70)</f>
        <v>0</v>
      </c>
      <c r="J60" s="23">
        <f>SUM(J61:J70)</f>
        <v>0</v>
      </c>
      <c r="K60" s="23">
        <f t="shared" ref="K60:L60" si="23">SUM(K61:K70)</f>
        <v>0</v>
      </c>
      <c r="L60" s="23">
        <f t="shared" si="23"/>
        <v>0</v>
      </c>
      <c r="M60" s="22">
        <f t="shared" si="11"/>
        <v>0</v>
      </c>
      <c r="N60" s="24">
        <f>'D3-Capex'!I26</f>
        <v>0</v>
      </c>
      <c r="O60" s="23">
        <f>'D3-Capex'!J26</f>
        <v>0</v>
      </c>
      <c r="P60" s="83">
        <f>'D3-Capex'!K26</f>
        <v>0</v>
      </c>
    </row>
    <row r="61" spans="1:16" x14ac:dyDescent="0.25">
      <c r="A61" s="238" t="s">
        <v>876</v>
      </c>
      <c r="B61" s="354"/>
      <c r="C61" s="354"/>
      <c r="D61" s="354"/>
      <c r="E61" s="354"/>
      <c r="F61" s="354"/>
      <c r="G61" s="354"/>
      <c r="H61" s="354"/>
      <c r="I61" s="354"/>
      <c r="J61" s="354"/>
      <c r="K61" s="354"/>
      <c r="L61" s="354"/>
      <c r="M61" s="22">
        <f t="shared" si="11"/>
        <v>0</v>
      </c>
      <c r="N61" s="24">
        <f>'D3-Capex'!I27</f>
        <v>0</v>
      </c>
      <c r="O61" s="23">
        <f>'D3-Capex'!J27</f>
        <v>0</v>
      </c>
      <c r="P61" s="83">
        <f>'D3-Capex'!K27</f>
        <v>0</v>
      </c>
    </row>
    <row r="62" spans="1:16" x14ac:dyDescent="0.25">
      <c r="A62" s="238" t="s">
        <v>877</v>
      </c>
      <c r="B62" s="354"/>
      <c r="C62" s="354"/>
      <c r="D62" s="354"/>
      <c r="E62" s="354"/>
      <c r="F62" s="354"/>
      <c r="G62" s="354"/>
      <c r="H62" s="354"/>
      <c r="I62" s="354"/>
      <c r="J62" s="354"/>
      <c r="K62" s="354"/>
      <c r="L62" s="354"/>
      <c r="M62" s="22">
        <f t="shared" si="11"/>
        <v>0</v>
      </c>
      <c r="N62" s="24">
        <f>'D3-Capex'!I28</f>
        <v>0</v>
      </c>
      <c r="O62" s="23">
        <f>'D3-Capex'!J28</f>
        <v>0</v>
      </c>
      <c r="P62" s="83">
        <f>'D3-Capex'!K28</f>
        <v>0</v>
      </c>
    </row>
    <row r="63" spans="1:16" x14ac:dyDescent="0.25">
      <c r="A63" s="238" t="s">
        <v>878</v>
      </c>
      <c r="B63" s="354"/>
      <c r="C63" s="354"/>
      <c r="D63" s="354"/>
      <c r="E63" s="354"/>
      <c r="F63" s="354"/>
      <c r="G63" s="354"/>
      <c r="H63" s="354"/>
      <c r="I63" s="354"/>
      <c r="J63" s="354"/>
      <c r="K63" s="354"/>
      <c r="L63" s="354"/>
      <c r="M63" s="22">
        <f t="shared" si="11"/>
        <v>0</v>
      </c>
      <c r="N63" s="24">
        <f>'D3-Capex'!I29</f>
        <v>0</v>
      </c>
      <c r="O63" s="23">
        <f>'D3-Capex'!J29</f>
        <v>0</v>
      </c>
      <c r="P63" s="83">
        <f>'D3-Capex'!K29</f>
        <v>0</v>
      </c>
    </row>
    <row r="64" spans="1:16" x14ac:dyDescent="0.25">
      <c r="A64" s="238" t="s">
        <v>879</v>
      </c>
      <c r="B64" s="354"/>
      <c r="C64" s="354"/>
      <c r="D64" s="354"/>
      <c r="E64" s="354"/>
      <c r="F64" s="354"/>
      <c r="G64" s="354"/>
      <c r="H64" s="354"/>
      <c r="I64" s="354"/>
      <c r="J64" s="354"/>
      <c r="K64" s="354"/>
      <c r="L64" s="354"/>
      <c r="M64" s="22">
        <f t="shared" si="11"/>
        <v>0</v>
      </c>
      <c r="N64" s="24">
        <f>'D3-Capex'!I30</f>
        <v>0</v>
      </c>
      <c r="O64" s="23">
        <f>'D3-Capex'!J30</f>
        <v>0</v>
      </c>
      <c r="P64" s="83">
        <f>'D3-Capex'!K30</f>
        <v>0</v>
      </c>
    </row>
    <row r="65" spans="1:16" x14ac:dyDescent="0.25">
      <c r="A65" s="238" t="s">
        <v>880</v>
      </c>
      <c r="B65" s="354"/>
      <c r="C65" s="354"/>
      <c r="D65" s="354"/>
      <c r="E65" s="354"/>
      <c r="F65" s="354"/>
      <c r="G65" s="354"/>
      <c r="H65" s="354"/>
      <c r="I65" s="354"/>
      <c r="J65" s="354"/>
      <c r="K65" s="354"/>
      <c r="L65" s="354"/>
      <c r="M65" s="22">
        <f t="shared" si="11"/>
        <v>0</v>
      </c>
      <c r="N65" s="24">
        <f>'D3-Capex'!I31</f>
        <v>0</v>
      </c>
      <c r="O65" s="23">
        <f>'D3-Capex'!J31</f>
        <v>0</v>
      </c>
      <c r="P65" s="83">
        <f>'D3-Capex'!K31</f>
        <v>0</v>
      </c>
    </row>
    <row r="66" spans="1:16" x14ac:dyDescent="0.25">
      <c r="A66" s="238" t="s">
        <v>881</v>
      </c>
      <c r="B66" s="354"/>
      <c r="C66" s="354"/>
      <c r="D66" s="354"/>
      <c r="E66" s="354"/>
      <c r="F66" s="354"/>
      <c r="G66" s="354"/>
      <c r="H66" s="354"/>
      <c r="I66" s="354"/>
      <c r="J66" s="354"/>
      <c r="K66" s="354"/>
      <c r="L66" s="354"/>
      <c r="M66" s="22">
        <f t="shared" si="11"/>
        <v>0</v>
      </c>
      <c r="N66" s="24">
        <f>'D3-Capex'!I32</f>
        <v>0</v>
      </c>
      <c r="O66" s="23">
        <f>'D3-Capex'!J32</f>
        <v>0</v>
      </c>
      <c r="P66" s="83">
        <f>'D3-Capex'!K32</f>
        <v>0</v>
      </c>
    </row>
    <row r="67" spans="1:16" x14ac:dyDescent="0.25">
      <c r="A67" s="238" t="s">
        <v>882</v>
      </c>
      <c r="B67" s="354"/>
      <c r="C67" s="354"/>
      <c r="D67" s="354"/>
      <c r="E67" s="354"/>
      <c r="F67" s="354"/>
      <c r="G67" s="354"/>
      <c r="H67" s="354"/>
      <c r="I67" s="354"/>
      <c r="J67" s="354"/>
      <c r="K67" s="354"/>
      <c r="L67" s="354"/>
      <c r="M67" s="22">
        <f t="shared" si="11"/>
        <v>0</v>
      </c>
      <c r="N67" s="24">
        <f>'D3-Capex'!I33</f>
        <v>0</v>
      </c>
      <c r="O67" s="23">
        <f>'D3-Capex'!J33</f>
        <v>0</v>
      </c>
      <c r="P67" s="83">
        <f>'D3-Capex'!K33</f>
        <v>0</v>
      </c>
    </row>
    <row r="68" spans="1:16" x14ac:dyDescent="0.25">
      <c r="A68" s="238" t="s">
        <v>883</v>
      </c>
      <c r="B68" s="354"/>
      <c r="C68" s="354"/>
      <c r="D68" s="354"/>
      <c r="E68" s="354"/>
      <c r="F68" s="354"/>
      <c r="G68" s="354"/>
      <c r="H68" s="354"/>
      <c r="I68" s="354"/>
      <c r="J68" s="354"/>
      <c r="K68" s="354"/>
      <c r="L68" s="354"/>
      <c r="M68" s="22">
        <f t="shared" si="11"/>
        <v>0</v>
      </c>
      <c r="N68" s="24">
        <f>'D3-Capex'!I34</f>
        <v>0</v>
      </c>
      <c r="O68" s="23">
        <f>'D3-Capex'!J34</f>
        <v>0</v>
      </c>
      <c r="P68" s="83">
        <f>'D3-Capex'!K34</f>
        <v>0</v>
      </c>
    </row>
    <row r="69" spans="1:16" x14ac:dyDescent="0.25">
      <c r="A69" s="238" t="s">
        <v>884</v>
      </c>
      <c r="B69" s="354"/>
      <c r="C69" s="354"/>
      <c r="D69" s="354"/>
      <c r="E69" s="354"/>
      <c r="F69" s="354"/>
      <c r="G69" s="354"/>
      <c r="H69" s="354"/>
      <c r="I69" s="354"/>
      <c r="J69" s="354"/>
      <c r="K69" s="354"/>
      <c r="L69" s="354"/>
      <c r="M69" s="22">
        <f t="shared" si="11"/>
        <v>0</v>
      </c>
      <c r="N69" s="24">
        <f>'D3-Capex'!I35</f>
        <v>0</v>
      </c>
      <c r="O69" s="23">
        <f>'D3-Capex'!J35</f>
        <v>0</v>
      </c>
      <c r="P69" s="83">
        <f>'D3-Capex'!K35</f>
        <v>0</v>
      </c>
    </row>
    <row r="70" spans="1:16" x14ac:dyDescent="0.25">
      <c r="A70" s="238" t="s">
        <v>861</v>
      </c>
      <c r="B70" s="354"/>
      <c r="C70" s="354"/>
      <c r="D70" s="354"/>
      <c r="E70" s="354"/>
      <c r="F70" s="354"/>
      <c r="G70" s="354"/>
      <c r="H70" s="354"/>
      <c r="I70" s="354"/>
      <c r="J70" s="354"/>
      <c r="K70" s="354"/>
      <c r="L70" s="354"/>
      <c r="M70" s="22">
        <f t="shared" si="11"/>
        <v>0</v>
      </c>
      <c r="N70" s="24">
        <f>'D3-Capex'!I36</f>
        <v>0</v>
      </c>
      <c r="O70" s="23">
        <f>'D3-Capex'!J36</f>
        <v>0</v>
      </c>
      <c r="P70" s="83">
        <f>'D3-Capex'!K36</f>
        <v>0</v>
      </c>
    </row>
    <row r="71" spans="1:16" x14ac:dyDescent="0.25">
      <c r="A71" s="20" t="s">
        <v>885</v>
      </c>
      <c r="B71" s="23">
        <f>SUM(B72:B77)</f>
        <v>0</v>
      </c>
      <c r="C71" s="23">
        <f t="shared" ref="C71" si="24">SUM(C72:C77)</f>
        <v>0</v>
      </c>
      <c r="D71" s="23">
        <f>SUM(D72:D77)</f>
        <v>0</v>
      </c>
      <c r="E71" s="23">
        <f t="shared" ref="E71" si="25">SUM(E72:E77)</f>
        <v>0</v>
      </c>
      <c r="F71" s="23">
        <f>SUM(F72:F77)</f>
        <v>0</v>
      </c>
      <c r="G71" s="23">
        <f t="shared" ref="G71" si="26">SUM(G72:G77)</f>
        <v>0</v>
      </c>
      <c r="H71" s="23">
        <f>SUM(H72:H77)</f>
        <v>0</v>
      </c>
      <c r="I71" s="23">
        <f t="shared" ref="I71" si="27">SUM(I72:I77)</f>
        <v>0</v>
      </c>
      <c r="J71" s="23">
        <f>SUM(J72:J77)</f>
        <v>0</v>
      </c>
      <c r="K71" s="23">
        <f t="shared" ref="K71:L71" si="28">SUM(K72:K77)</f>
        <v>0</v>
      </c>
      <c r="L71" s="23">
        <f t="shared" si="28"/>
        <v>0</v>
      </c>
      <c r="M71" s="22">
        <f t="shared" si="11"/>
        <v>0</v>
      </c>
      <c r="N71" s="24">
        <f>'D3-Capex'!I37</f>
        <v>0</v>
      </c>
      <c r="O71" s="23">
        <f>'D3-Capex'!J37</f>
        <v>0</v>
      </c>
      <c r="P71" s="83">
        <f>'D3-Capex'!K37</f>
        <v>0</v>
      </c>
    </row>
    <row r="72" spans="1:16" x14ac:dyDescent="0.25">
      <c r="A72" s="238" t="s">
        <v>886</v>
      </c>
      <c r="B72" s="354"/>
      <c r="C72" s="354"/>
      <c r="D72" s="354"/>
      <c r="E72" s="354"/>
      <c r="F72" s="354"/>
      <c r="G72" s="354"/>
      <c r="H72" s="354"/>
      <c r="I72" s="354"/>
      <c r="J72" s="354"/>
      <c r="K72" s="354"/>
      <c r="L72" s="354"/>
      <c r="M72" s="22">
        <f t="shared" si="11"/>
        <v>0</v>
      </c>
      <c r="N72" s="24">
        <f>'D3-Capex'!I38</f>
        <v>0</v>
      </c>
      <c r="O72" s="23">
        <f>'D3-Capex'!J38</f>
        <v>0</v>
      </c>
      <c r="P72" s="83">
        <f>'D3-Capex'!K38</f>
        <v>0</v>
      </c>
    </row>
    <row r="73" spans="1:16" x14ac:dyDescent="0.25">
      <c r="A73" s="238" t="s">
        <v>500</v>
      </c>
      <c r="B73" s="354"/>
      <c r="C73" s="354"/>
      <c r="D73" s="354"/>
      <c r="E73" s="354"/>
      <c r="F73" s="354"/>
      <c r="G73" s="354"/>
      <c r="H73" s="354"/>
      <c r="I73" s="354"/>
      <c r="J73" s="354"/>
      <c r="K73" s="354"/>
      <c r="L73" s="354"/>
      <c r="M73" s="22">
        <f t="shared" si="11"/>
        <v>0</v>
      </c>
      <c r="N73" s="24">
        <f>'D3-Capex'!I39</f>
        <v>0</v>
      </c>
      <c r="O73" s="23">
        <f>'D3-Capex'!J39</f>
        <v>0</v>
      </c>
      <c r="P73" s="83">
        <f>'D3-Capex'!K39</f>
        <v>0</v>
      </c>
    </row>
    <row r="74" spans="1:16" x14ac:dyDescent="0.25">
      <c r="A74" s="238" t="s">
        <v>887</v>
      </c>
      <c r="B74" s="354"/>
      <c r="C74" s="354"/>
      <c r="D74" s="354"/>
      <c r="E74" s="354"/>
      <c r="F74" s="354"/>
      <c r="G74" s="354"/>
      <c r="H74" s="354"/>
      <c r="I74" s="354"/>
      <c r="J74" s="354"/>
      <c r="K74" s="354"/>
      <c r="L74" s="354"/>
      <c r="M74" s="22">
        <f t="shared" si="11"/>
        <v>0</v>
      </c>
      <c r="N74" s="24">
        <f>'D3-Capex'!I40</f>
        <v>0</v>
      </c>
      <c r="O74" s="23">
        <f>'D3-Capex'!J40</f>
        <v>0</v>
      </c>
      <c r="P74" s="83">
        <f>'D3-Capex'!K40</f>
        <v>0</v>
      </c>
    </row>
    <row r="75" spans="1:16" x14ac:dyDescent="0.25">
      <c r="A75" s="238" t="s">
        <v>888</v>
      </c>
      <c r="B75" s="354"/>
      <c r="C75" s="354"/>
      <c r="D75" s="354"/>
      <c r="E75" s="354"/>
      <c r="F75" s="354"/>
      <c r="G75" s="354"/>
      <c r="H75" s="354"/>
      <c r="I75" s="354"/>
      <c r="J75" s="354"/>
      <c r="K75" s="354"/>
      <c r="L75" s="354"/>
      <c r="M75" s="22">
        <f t="shared" si="11"/>
        <v>0</v>
      </c>
      <c r="N75" s="24">
        <f>'D3-Capex'!I41</f>
        <v>0</v>
      </c>
      <c r="O75" s="23">
        <f>'D3-Capex'!J41</f>
        <v>0</v>
      </c>
      <c r="P75" s="83">
        <f>'D3-Capex'!K41</f>
        <v>0</v>
      </c>
    </row>
    <row r="76" spans="1:16" x14ac:dyDescent="0.25">
      <c r="A76" s="238" t="s">
        <v>889</v>
      </c>
      <c r="B76" s="354"/>
      <c r="C76" s="354"/>
      <c r="D76" s="354"/>
      <c r="E76" s="354"/>
      <c r="F76" s="354"/>
      <c r="G76" s="354"/>
      <c r="H76" s="354"/>
      <c r="I76" s="354"/>
      <c r="J76" s="354"/>
      <c r="K76" s="354"/>
      <c r="L76" s="354"/>
      <c r="M76" s="22">
        <f t="shared" si="11"/>
        <v>0</v>
      </c>
      <c r="N76" s="24">
        <f>'D3-Capex'!I42</f>
        <v>0</v>
      </c>
      <c r="O76" s="23">
        <f>'D3-Capex'!J42</f>
        <v>0</v>
      </c>
      <c r="P76" s="83">
        <f>'D3-Capex'!K42</f>
        <v>0</v>
      </c>
    </row>
    <row r="77" spans="1:16" x14ac:dyDescent="0.25">
      <c r="A77" s="238" t="s">
        <v>861</v>
      </c>
      <c r="B77" s="354"/>
      <c r="C77" s="354"/>
      <c r="D77" s="354"/>
      <c r="E77" s="354"/>
      <c r="F77" s="354"/>
      <c r="G77" s="354"/>
      <c r="H77" s="354"/>
      <c r="I77" s="354"/>
      <c r="J77" s="354"/>
      <c r="K77" s="354"/>
      <c r="L77" s="354"/>
      <c r="M77" s="22">
        <f t="shared" si="11"/>
        <v>0</v>
      </c>
      <c r="N77" s="24">
        <f>'D3-Capex'!I43</f>
        <v>0</v>
      </c>
      <c r="O77" s="23">
        <f>'D3-Capex'!J43</f>
        <v>0</v>
      </c>
      <c r="P77" s="83">
        <f>'D3-Capex'!K43</f>
        <v>0</v>
      </c>
    </row>
    <row r="78" spans="1:16" x14ac:dyDescent="0.25">
      <c r="A78" s="20" t="s">
        <v>890</v>
      </c>
      <c r="B78" s="23">
        <f>SUM(B79:B85)</f>
        <v>0</v>
      </c>
      <c r="C78" s="23">
        <f t="shared" ref="C78" si="29">SUM(C79:C85)</f>
        <v>0</v>
      </c>
      <c r="D78" s="23">
        <f>SUM(D79:D85)</f>
        <v>0</v>
      </c>
      <c r="E78" s="23">
        <f t="shared" ref="E78" si="30">SUM(E79:E85)</f>
        <v>0</v>
      </c>
      <c r="F78" s="23">
        <f>SUM(F79:F85)</f>
        <v>0</v>
      </c>
      <c r="G78" s="23">
        <f t="shared" ref="G78" si="31">SUM(G79:G85)</f>
        <v>0</v>
      </c>
      <c r="H78" s="23">
        <f>SUM(H79:H85)</f>
        <v>0</v>
      </c>
      <c r="I78" s="23">
        <f t="shared" ref="I78" si="32">SUM(I79:I85)</f>
        <v>0</v>
      </c>
      <c r="J78" s="23">
        <f>SUM(J79:J85)</f>
        <v>0</v>
      </c>
      <c r="K78" s="23">
        <f t="shared" ref="K78:L78" si="33">SUM(K79:K85)</f>
        <v>0</v>
      </c>
      <c r="L78" s="23">
        <f t="shared" si="33"/>
        <v>0</v>
      </c>
      <c r="M78" s="22">
        <f t="shared" si="11"/>
        <v>0</v>
      </c>
      <c r="N78" s="24">
        <f>'D3-Capex'!I44</f>
        <v>0</v>
      </c>
      <c r="O78" s="23">
        <f>'D3-Capex'!J44</f>
        <v>0</v>
      </c>
      <c r="P78" s="83">
        <f>'D3-Capex'!K44</f>
        <v>0</v>
      </c>
    </row>
    <row r="79" spans="1:16" x14ac:dyDescent="0.25">
      <c r="A79" s="238" t="s">
        <v>891</v>
      </c>
      <c r="B79" s="354"/>
      <c r="C79" s="354"/>
      <c r="D79" s="354"/>
      <c r="E79" s="354"/>
      <c r="F79" s="354"/>
      <c r="G79" s="354"/>
      <c r="H79" s="354"/>
      <c r="I79" s="354"/>
      <c r="J79" s="354"/>
      <c r="K79" s="354"/>
      <c r="L79" s="354"/>
      <c r="M79" s="22">
        <f t="shared" si="11"/>
        <v>0</v>
      </c>
      <c r="N79" s="24">
        <f>'D3-Capex'!I45</f>
        <v>0</v>
      </c>
      <c r="O79" s="23">
        <f>'D3-Capex'!J45</f>
        <v>0</v>
      </c>
      <c r="P79" s="83">
        <f>'D3-Capex'!K45</f>
        <v>0</v>
      </c>
    </row>
    <row r="80" spans="1:16" x14ac:dyDescent="0.25">
      <c r="A80" s="238" t="s">
        <v>892</v>
      </c>
      <c r="B80" s="354"/>
      <c r="C80" s="354"/>
      <c r="D80" s="354"/>
      <c r="E80" s="354"/>
      <c r="F80" s="354"/>
      <c r="G80" s="354"/>
      <c r="H80" s="354"/>
      <c r="I80" s="354"/>
      <c r="J80" s="354"/>
      <c r="K80" s="354"/>
      <c r="L80" s="354"/>
      <c r="M80" s="22">
        <f t="shared" si="11"/>
        <v>0</v>
      </c>
      <c r="N80" s="24">
        <f>'D3-Capex'!I46</f>
        <v>0</v>
      </c>
      <c r="O80" s="23">
        <f>'D3-Capex'!J46</f>
        <v>0</v>
      </c>
      <c r="P80" s="83">
        <f>'D3-Capex'!K46</f>
        <v>0</v>
      </c>
    </row>
    <row r="81" spans="1:16" x14ac:dyDescent="0.25">
      <c r="A81" s="238" t="s">
        <v>893</v>
      </c>
      <c r="B81" s="354"/>
      <c r="C81" s="354"/>
      <c r="D81" s="354"/>
      <c r="E81" s="354"/>
      <c r="F81" s="354"/>
      <c r="G81" s="354"/>
      <c r="H81" s="354"/>
      <c r="I81" s="354"/>
      <c r="J81" s="354"/>
      <c r="K81" s="354"/>
      <c r="L81" s="354"/>
      <c r="M81" s="22">
        <f t="shared" si="11"/>
        <v>0</v>
      </c>
      <c r="N81" s="24">
        <f>'D3-Capex'!I47</f>
        <v>0</v>
      </c>
      <c r="O81" s="23">
        <f>'D3-Capex'!J47</f>
        <v>0</v>
      </c>
      <c r="P81" s="83">
        <f>'D3-Capex'!K47</f>
        <v>0</v>
      </c>
    </row>
    <row r="82" spans="1:16" x14ac:dyDescent="0.25">
      <c r="A82" s="238" t="s">
        <v>894</v>
      </c>
      <c r="B82" s="354"/>
      <c r="C82" s="354"/>
      <c r="D82" s="354"/>
      <c r="E82" s="354"/>
      <c r="F82" s="354"/>
      <c r="G82" s="354"/>
      <c r="H82" s="354"/>
      <c r="I82" s="354"/>
      <c r="J82" s="354"/>
      <c r="K82" s="354"/>
      <c r="L82" s="354"/>
      <c r="M82" s="22">
        <f t="shared" si="11"/>
        <v>0</v>
      </c>
      <c r="N82" s="24">
        <f>'D3-Capex'!I48</f>
        <v>0</v>
      </c>
      <c r="O82" s="23">
        <f>'D3-Capex'!J48</f>
        <v>0</v>
      </c>
      <c r="P82" s="83">
        <f>'D3-Capex'!K48</f>
        <v>0</v>
      </c>
    </row>
    <row r="83" spans="1:16" x14ac:dyDescent="0.25">
      <c r="A83" s="238" t="s">
        <v>895</v>
      </c>
      <c r="B83" s="354"/>
      <c r="C83" s="354"/>
      <c r="D83" s="354"/>
      <c r="E83" s="354"/>
      <c r="F83" s="354"/>
      <c r="G83" s="354"/>
      <c r="H83" s="354"/>
      <c r="I83" s="354"/>
      <c r="J83" s="354"/>
      <c r="K83" s="354"/>
      <c r="L83" s="354"/>
      <c r="M83" s="22">
        <f t="shared" si="11"/>
        <v>0</v>
      </c>
      <c r="N83" s="24">
        <f>'D3-Capex'!I49</f>
        <v>0</v>
      </c>
      <c r="O83" s="23">
        <f>'D3-Capex'!J49</f>
        <v>0</v>
      </c>
      <c r="P83" s="83">
        <f>'D3-Capex'!K49</f>
        <v>0</v>
      </c>
    </row>
    <row r="84" spans="1:16" x14ac:dyDescent="0.25">
      <c r="A84" s="238" t="s">
        <v>896</v>
      </c>
      <c r="B84" s="354"/>
      <c r="C84" s="354"/>
      <c r="D84" s="354"/>
      <c r="E84" s="354"/>
      <c r="F84" s="354"/>
      <c r="G84" s="354"/>
      <c r="H84" s="354"/>
      <c r="I84" s="354"/>
      <c r="J84" s="354"/>
      <c r="K84" s="354"/>
      <c r="L84" s="354"/>
      <c r="M84" s="22">
        <f t="shared" si="11"/>
        <v>0</v>
      </c>
      <c r="N84" s="24">
        <f>'D3-Capex'!I50</f>
        <v>0</v>
      </c>
      <c r="O84" s="23">
        <f>'D3-Capex'!J50</f>
        <v>0</v>
      </c>
      <c r="P84" s="83">
        <f>'D3-Capex'!K50</f>
        <v>0</v>
      </c>
    </row>
    <row r="85" spans="1:16" x14ac:dyDescent="0.25">
      <c r="A85" s="238" t="s">
        <v>861</v>
      </c>
      <c r="B85" s="354"/>
      <c r="C85" s="354"/>
      <c r="D85" s="354"/>
      <c r="E85" s="354"/>
      <c r="F85" s="354"/>
      <c r="G85" s="354"/>
      <c r="H85" s="354"/>
      <c r="I85" s="354"/>
      <c r="J85" s="354"/>
      <c r="K85" s="354"/>
      <c r="L85" s="354"/>
      <c r="M85" s="22">
        <f t="shared" si="11"/>
        <v>0</v>
      </c>
      <c r="N85" s="24">
        <f>'D3-Capex'!I51</f>
        <v>0</v>
      </c>
      <c r="O85" s="23">
        <f>'D3-Capex'!J51</f>
        <v>0</v>
      </c>
      <c r="P85" s="83">
        <f>'D3-Capex'!K51</f>
        <v>0</v>
      </c>
    </row>
    <row r="86" spans="1:16" x14ac:dyDescent="0.25">
      <c r="A86" s="20" t="s">
        <v>897</v>
      </c>
      <c r="B86" s="23">
        <f t="shared" ref="B86:K86" si="34">SUM(B87:B95)</f>
        <v>0</v>
      </c>
      <c r="C86" s="23">
        <f t="shared" si="34"/>
        <v>0</v>
      </c>
      <c r="D86" s="23">
        <f t="shared" si="34"/>
        <v>0</v>
      </c>
      <c r="E86" s="23">
        <f t="shared" si="34"/>
        <v>0</v>
      </c>
      <c r="F86" s="23">
        <f t="shared" si="34"/>
        <v>0</v>
      </c>
      <c r="G86" s="23">
        <f t="shared" si="34"/>
        <v>0</v>
      </c>
      <c r="H86" s="23">
        <f t="shared" si="34"/>
        <v>0</v>
      </c>
      <c r="I86" s="23">
        <f t="shared" si="34"/>
        <v>0</v>
      </c>
      <c r="J86" s="23">
        <f t="shared" si="34"/>
        <v>0</v>
      </c>
      <c r="K86" s="23">
        <f t="shared" si="34"/>
        <v>0</v>
      </c>
      <c r="L86" s="23">
        <f t="shared" ref="L86" si="35">SUM(L87:L95)</f>
        <v>0</v>
      </c>
      <c r="M86" s="22">
        <f t="shared" si="11"/>
        <v>0</v>
      </c>
      <c r="N86" s="24">
        <f>'D3-Capex'!I52</f>
        <v>0</v>
      </c>
      <c r="O86" s="23">
        <f>'D3-Capex'!J52</f>
        <v>0</v>
      </c>
      <c r="P86" s="83">
        <f>'D3-Capex'!K52</f>
        <v>0</v>
      </c>
    </row>
    <row r="87" spans="1:16" x14ac:dyDescent="0.25">
      <c r="A87" s="238" t="s">
        <v>898</v>
      </c>
      <c r="B87" s="354"/>
      <c r="C87" s="354"/>
      <c r="D87" s="354"/>
      <c r="E87" s="354"/>
      <c r="F87" s="354"/>
      <c r="G87" s="354"/>
      <c r="H87" s="354"/>
      <c r="I87" s="354"/>
      <c r="J87" s="354"/>
      <c r="K87" s="354"/>
      <c r="L87" s="354"/>
      <c r="M87" s="22">
        <f t="shared" si="11"/>
        <v>0</v>
      </c>
      <c r="N87" s="24">
        <f>'D3-Capex'!I53</f>
        <v>0</v>
      </c>
      <c r="O87" s="23">
        <f>'D3-Capex'!J53</f>
        <v>0</v>
      </c>
      <c r="P87" s="83">
        <f>'D3-Capex'!K53</f>
        <v>0</v>
      </c>
    </row>
    <row r="88" spans="1:16" x14ac:dyDescent="0.25">
      <c r="A88" s="238" t="s">
        <v>899</v>
      </c>
      <c r="B88" s="354"/>
      <c r="C88" s="354"/>
      <c r="D88" s="354"/>
      <c r="E88" s="354"/>
      <c r="F88" s="354"/>
      <c r="G88" s="354"/>
      <c r="H88" s="354"/>
      <c r="I88" s="354"/>
      <c r="J88" s="354"/>
      <c r="K88" s="354"/>
      <c r="L88" s="354"/>
      <c r="M88" s="22">
        <f t="shared" si="11"/>
        <v>0</v>
      </c>
      <c r="N88" s="24">
        <f>'D3-Capex'!I54</f>
        <v>0</v>
      </c>
      <c r="O88" s="23">
        <f>'D3-Capex'!J54</f>
        <v>0</v>
      </c>
      <c r="P88" s="83">
        <f>'D3-Capex'!K54</f>
        <v>0</v>
      </c>
    </row>
    <row r="89" spans="1:16" x14ac:dyDescent="0.25">
      <c r="A89" s="238" t="s">
        <v>900</v>
      </c>
      <c r="B89" s="354"/>
      <c r="C89" s="354"/>
      <c r="D89" s="354"/>
      <c r="E89" s="354"/>
      <c r="F89" s="354"/>
      <c r="G89" s="354"/>
      <c r="H89" s="354"/>
      <c r="I89" s="354"/>
      <c r="J89" s="354"/>
      <c r="K89" s="354"/>
      <c r="L89" s="354"/>
      <c r="M89" s="22">
        <f t="shared" si="11"/>
        <v>0</v>
      </c>
      <c r="N89" s="24">
        <f>'D3-Capex'!I55</f>
        <v>0</v>
      </c>
      <c r="O89" s="23">
        <f>'D3-Capex'!J55</f>
        <v>0</v>
      </c>
      <c r="P89" s="83">
        <f>'D3-Capex'!K55</f>
        <v>0</v>
      </c>
    </row>
    <row r="90" spans="1:16" x14ac:dyDescent="0.25">
      <c r="A90" s="238" t="s">
        <v>863</v>
      </c>
      <c r="B90" s="354"/>
      <c r="C90" s="354"/>
      <c r="D90" s="354"/>
      <c r="E90" s="354"/>
      <c r="F90" s="354"/>
      <c r="G90" s="354"/>
      <c r="H90" s="354"/>
      <c r="I90" s="354"/>
      <c r="J90" s="354"/>
      <c r="K90" s="354"/>
      <c r="L90" s="354"/>
      <c r="M90" s="22">
        <f t="shared" si="11"/>
        <v>0</v>
      </c>
      <c r="N90" s="24">
        <f>'D3-Capex'!I56</f>
        <v>0</v>
      </c>
      <c r="O90" s="23">
        <f>'D3-Capex'!J56</f>
        <v>0</v>
      </c>
      <c r="P90" s="83">
        <f>'D3-Capex'!K56</f>
        <v>0</v>
      </c>
    </row>
    <row r="91" spans="1:16" x14ac:dyDescent="0.25">
      <c r="A91" s="238" t="s">
        <v>864</v>
      </c>
      <c r="B91" s="354"/>
      <c r="C91" s="354"/>
      <c r="D91" s="354"/>
      <c r="E91" s="354"/>
      <c r="F91" s="354"/>
      <c r="G91" s="354"/>
      <c r="H91" s="354"/>
      <c r="I91" s="354"/>
      <c r="J91" s="354"/>
      <c r="K91" s="354"/>
      <c r="L91" s="354"/>
      <c r="M91" s="22">
        <f t="shared" si="11"/>
        <v>0</v>
      </c>
      <c r="N91" s="24">
        <f>'D3-Capex'!I57</f>
        <v>0</v>
      </c>
      <c r="O91" s="23">
        <f>'D3-Capex'!J57</f>
        <v>0</v>
      </c>
      <c r="P91" s="83">
        <f>'D3-Capex'!K57</f>
        <v>0</v>
      </c>
    </row>
    <row r="92" spans="1:16" x14ac:dyDescent="0.25">
      <c r="A92" s="238" t="s">
        <v>865</v>
      </c>
      <c r="B92" s="354"/>
      <c r="C92" s="354"/>
      <c r="D92" s="354"/>
      <c r="E92" s="354"/>
      <c r="F92" s="354"/>
      <c r="G92" s="354"/>
      <c r="H92" s="354"/>
      <c r="I92" s="354"/>
      <c r="J92" s="354"/>
      <c r="K92" s="354"/>
      <c r="L92" s="354"/>
      <c r="M92" s="22">
        <f t="shared" si="11"/>
        <v>0</v>
      </c>
      <c r="N92" s="24">
        <f>'D3-Capex'!I58</f>
        <v>0</v>
      </c>
      <c r="O92" s="23">
        <f>'D3-Capex'!J58</f>
        <v>0</v>
      </c>
      <c r="P92" s="83">
        <f>'D3-Capex'!K58</f>
        <v>0</v>
      </c>
    </row>
    <row r="93" spans="1:16" x14ac:dyDescent="0.25">
      <c r="A93" s="238" t="s">
        <v>871</v>
      </c>
      <c r="B93" s="354"/>
      <c r="C93" s="354"/>
      <c r="D93" s="354"/>
      <c r="E93" s="354"/>
      <c r="F93" s="354"/>
      <c r="G93" s="354"/>
      <c r="H93" s="354"/>
      <c r="I93" s="354"/>
      <c r="J93" s="354"/>
      <c r="K93" s="354"/>
      <c r="L93" s="354"/>
      <c r="M93" s="22">
        <f t="shared" si="11"/>
        <v>0</v>
      </c>
      <c r="N93" s="24">
        <f>'D3-Capex'!I59</f>
        <v>0</v>
      </c>
      <c r="O93" s="23">
        <f>'D3-Capex'!J59</f>
        <v>0</v>
      </c>
      <c r="P93" s="83">
        <f>'D3-Capex'!K59</f>
        <v>0</v>
      </c>
    </row>
    <row r="94" spans="1:16" x14ac:dyDescent="0.25">
      <c r="A94" s="238" t="s">
        <v>874</v>
      </c>
      <c r="B94" s="354"/>
      <c r="C94" s="354"/>
      <c r="D94" s="354"/>
      <c r="E94" s="354"/>
      <c r="F94" s="354"/>
      <c r="G94" s="354"/>
      <c r="H94" s="354"/>
      <c r="I94" s="354"/>
      <c r="J94" s="354"/>
      <c r="K94" s="354"/>
      <c r="L94" s="354"/>
      <c r="M94" s="22">
        <f t="shared" si="11"/>
        <v>0</v>
      </c>
      <c r="N94" s="24">
        <f>'D3-Capex'!I60</f>
        <v>0</v>
      </c>
      <c r="O94" s="23">
        <f>'D3-Capex'!J60</f>
        <v>0</v>
      </c>
      <c r="P94" s="83">
        <f>'D3-Capex'!K60</f>
        <v>0</v>
      </c>
    </row>
    <row r="95" spans="1:16" x14ac:dyDescent="0.25">
      <c r="A95" s="238" t="s">
        <v>861</v>
      </c>
      <c r="B95" s="354"/>
      <c r="C95" s="354"/>
      <c r="D95" s="354"/>
      <c r="E95" s="354"/>
      <c r="F95" s="354"/>
      <c r="G95" s="354"/>
      <c r="H95" s="354"/>
      <c r="I95" s="354"/>
      <c r="J95" s="354"/>
      <c r="K95" s="354"/>
      <c r="L95" s="354"/>
      <c r="M95" s="22">
        <f t="shared" si="11"/>
        <v>0</v>
      </c>
      <c r="N95" s="24">
        <f>'D3-Capex'!I61</f>
        <v>0</v>
      </c>
      <c r="O95" s="23">
        <f>'D3-Capex'!J61</f>
        <v>0</v>
      </c>
      <c r="P95" s="83">
        <f>'D3-Capex'!K61</f>
        <v>0</v>
      </c>
    </row>
    <row r="96" spans="1:16" x14ac:dyDescent="0.25">
      <c r="A96" s="20" t="s">
        <v>901</v>
      </c>
      <c r="B96" s="23">
        <f>SUM(B97:B101)</f>
        <v>0</v>
      </c>
      <c r="C96" s="23">
        <f t="shared" ref="C96" si="36">SUM(C97:C101)</f>
        <v>0</v>
      </c>
      <c r="D96" s="23">
        <f>SUM(D97:D101)</f>
        <v>0</v>
      </c>
      <c r="E96" s="23">
        <f t="shared" ref="E96" si="37">SUM(E97:E101)</f>
        <v>0</v>
      </c>
      <c r="F96" s="23">
        <f>SUM(F97:F101)</f>
        <v>0</v>
      </c>
      <c r="G96" s="23">
        <f t="shared" ref="G96" si="38">SUM(G97:G101)</f>
        <v>0</v>
      </c>
      <c r="H96" s="23">
        <f>SUM(H97:H101)</f>
        <v>0</v>
      </c>
      <c r="I96" s="23">
        <f t="shared" ref="I96" si="39">SUM(I97:I101)</f>
        <v>0</v>
      </c>
      <c r="J96" s="23">
        <f>SUM(J97:J101)</f>
        <v>0</v>
      </c>
      <c r="K96" s="23">
        <f t="shared" ref="K96:L96" si="40">SUM(K97:K101)</f>
        <v>0</v>
      </c>
      <c r="L96" s="23">
        <f t="shared" si="40"/>
        <v>0</v>
      </c>
      <c r="M96" s="22">
        <f t="shared" si="11"/>
        <v>0</v>
      </c>
      <c r="N96" s="24">
        <f>'D3-Capex'!I62</f>
        <v>0</v>
      </c>
      <c r="O96" s="23">
        <f>'D3-Capex'!J62</f>
        <v>0</v>
      </c>
      <c r="P96" s="83">
        <f>'D3-Capex'!K62</f>
        <v>0</v>
      </c>
    </row>
    <row r="97" spans="1:16" x14ac:dyDescent="0.25">
      <c r="A97" s="238" t="s">
        <v>902</v>
      </c>
      <c r="B97" s="354"/>
      <c r="C97" s="354"/>
      <c r="D97" s="354"/>
      <c r="E97" s="354"/>
      <c r="F97" s="354"/>
      <c r="G97" s="354"/>
      <c r="H97" s="354"/>
      <c r="I97" s="354"/>
      <c r="J97" s="354"/>
      <c r="K97" s="354"/>
      <c r="L97" s="354"/>
      <c r="M97" s="22">
        <f t="shared" si="11"/>
        <v>0</v>
      </c>
      <c r="N97" s="24">
        <f>'D3-Capex'!I63</f>
        <v>0</v>
      </c>
      <c r="O97" s="23">
        <f>'D3-Capex'!J63</f>
        <v>0</v>
      </c>
      <c r="P97" s="83">
        <f>'D3-Capex'!K63</f>
        <v>0</v>
      </c>
    </row>
    <row r="98" spans="1:16" x14ac:dyDescent="0.25">
      <c r="A98" s="238" t="s">
        <v>903</v>
      </c>
      <c r="B98" s="354"/>
      <c r="C98" s="354"/>
      <c r="D98" s="354"/>
      <c r="E98" s="354"/>
      <c r="F98" s="354"/>
      <c r="G98" s="354"/>
      <c r="H98" s="354"/>
      <c r="I98" s="354"/>
      <c r="J98" s="354"/>
      <c r="K98" s="354"/>
      <c r="L98" s="354"/>
      <c r="M98" s="22">
        <f t="shared" si="11"/>
        <v>0</v>
      </c>
      <c r="N98" s="24">
        <f>'D3-Capex'!I64</f>
        <v>0</v>
      </c>
      <c r="O98" s="23">
        <f>'D3-Capex'!J64</f>
        <v>0</v>
      </c>
      <c r="P98" s="83">
        <f>'D3-Capex'!K64</f>
        <v>0</v>
      </c>
    </row>
    <row r="99" spans="1:16" x14ac:dyDescent="0.25">
      <c r="A99" s="238" t="s">
        <v>904</v>
      </c>
      <c r="B99" s="354"/>
      <c r="C99" s="354"/>
      <c r="D99" s="354"/>
      <c r="E99" s="354"/>
      <c r="F99" s="354"/>
      <c r="G99" s="354"/>
      <c r="H99" s="354"/>
      <c r="I99" s="354"/>
      <c r="J99" s="354"/>
      <c r="K99" s="354"/>
      <c r="L99" s="354"/>
      <c r="M99" s="22">
        <f t="shared" si="11"/>
        <v>0</v>
      </c>
      <c r="N99" s="24">
        <f>'D3-Capex'!I65</f>
        <v>0</v>
      </c>
      <c r="O99" s="23">
        <f>'D3-Capex'!J65</f>
        <v>0</v>
      </c>
      <c r="P99" s="83">
        <f>'D3-Capex'!K65</f>
        <v>0</v>
      </c>
    </row>
    <row r="100" spans="1:16" x14ac:dyDescent="0.25">
      <c r="A100" s="238" t="s">
        <v>905</v>
      </c>
      <c r="B100" s="354"/>
      <c r="C100" s="354"/>
      <c r="D100" s="354"/>
      <c r="E100" s="354"/>
      <c r="F100" s="354"/>
      <c r="G100" s="354"/>
      <c r="H100" s="354"/>
      <c r="I100" s="354"/>
      <c r="J100" s="354"/>
      <c r="K100" s="354"/>
      <c r="L100" s="354"/>
      <c r="M100" s="22">
        <f t="shared" si="11"/>
        <v>0</v>
      </c>
      <c r="N100" s="24">
        <f>'D3-Capex'!I66</f>
        <v>0</v>
      </c>
      <c r="O100" s="23">
        <f>'D3-Capex'!J66</f>
        <v>0</v>
      </c>
      <c r="P100" s="83">
        <f>'D3-Capex'!K66</f>
        <v>0</v>
      </c>
    </row>
    <row r="101" spans="1:16" x14ac:dyDescent="0.25">
      <c r="A101" s="238" t="s">
        <v>861</v>
      </c>
      <c r="B101" s="354"/>
      <c r="C101" s="354"/>
      <c r="D101" s="354"/>
      <c r="E101" s="354"/>
      <c r="F101" s="354"/>
      <c r="G101" s="354"/>
      <c r="H101" s="354"/>
      <c r="I101" s="354"/>
      <c r="J101" s="354"/>
      <c r="K101" s="354"/>
      <c r="L101" s="354"/>
      <c r="M101" s="22">
        <f t="shared" si="11"/>
        <v>0</v>
      </c>
      <c r="N101" s="24">
        <f>'D3-Capex'!I67</f>
        <v>0</v>
      </c>
      <c r="O101" s="23">
        <f>'D3-Capex'!J67</f>
        <v>0</v>
      </c>
      <c r="P101" s="83">
        <f>'D3-Capex'!K67</f>
        <v>0</v>
      </c>
    </row>
    <row r="102" spans="1:16" x14ac:dyDescent="0.25">
      <c r="A102" s="20" t="s">
        <v>906</v>
      </c>
      <c r="B102" s="23">
        <f>SUM(B103:B106)</f>
        <v>0</v>
      </c>
      <c r="C102" s="23">
        <f t="shared" ref="C102" si="41">SUM(C103:C106)</f>
        <v>0</v>
      </c>
      <c r="D102" s="23">
        <f>SUM(D103:D106)</f>
        <v>0</v>
      </c>
      <c r="E102" s="23">
        <f t="shared" ref="E102" si="42">SUM(E103:E106)</f>
        <v>0</v>
      </c>
      <c r="F102" s="23">
        <f>SUM(F103:F106)</f>
        <v>0</v>
      </c>
      <c r="G102" s="23">
        <f t="shared" ref="G102" si="43">SUM(G103:G106)</f>
        <v>0</v>
      </c>
      <c r="H102" s="23">
        <f>SUM(H103:H106)</f>
        <v>0</v>
      </c>
      <c r="I102" s="23">
        <f t="shared" ref="I102" si="44">SUM(I103:I106)</f>
        <v>0</v>
      </c>
      <c r="J102" s="23">
        <f>SUM(J103:J106)</f>
        <v>0</v>
      </c>
      <c r="K102" s="23">
        <f t="shared" ref="K102:L102" si="45">SUM(K103:K106)</f>
        <v>0</v>
      </c>
      <c r="L102" s="23">
        <f t="shared" si="45"/>
        <v>0</v>
      </c>
      <c r="M102" s="22">
        <f t="shared" si="11"/>
        <v>0</v>
      </c>
      <c r="N102" s="24">
        <f>'D3-Capex'!I68</f>
        <v>0</v>
      </c>
      <c r="O102" s="23">
        <f>'D3-Capex'!J68</f>
        <v>0</v>
      </c>
      <c r="P102" s="83">
        <f>'D3-Capex'!K68</f>
        <v>0</v>
      </c>
    </row>
    <row r="103" spans="1:16" x14ac:dyDescent="0.25">
      <c r="A103" s="238" t="s">
        <v>907</v>
      </c>
      <c r="B103" s="354"/>
      <c r="C103" s="354"/>
      <c r="D103" s="354"/>
      <c r="E103" s="354"/>
      <c r="F103" s="354"/>
      <c r="G103" s="354"/>
      <c r="H103" s="354"/>
      <c r="I103" s="354"/>
      <c r="J103" s="354"/>
      <c r="K103" s="354"/>
      <c r="L103" s="354"/>
      <c r="M103" s="22">
        <f t="shared" si="11"/>
        <v>0</v>
      </c>
      <c r="N103" s="24">
        <f>'D3-Capex'!I69</f>
        <v>0</v>
      </c>
      <c r="O103" s="23">
        <f>'D3-Capex'!J69</f>
        <v>0</v>
      </c>
      <c r="P103" s="83">
        <f>'D3-Capex'!K69</f>
        <v>0</v>
      </c>
    </row>
    <row r="104" spans="1:16" x14ac:dyDescent="0.25">
      <c r="A104" s="238" t="s">
        <v>908</v>
      </c>
      <c r="B104" s="354"/>
      <c r="C104" s="354"/>
      <c r="D104" s="354"/>
      <c r="E104" s="354"/>
      <c r="F104" s="354"/>
      <c r="G104" s="354"/>
      <c r="H104" s="354"/>
      <c r="I104" s="354"/>
      <c r="J104" s="354"/>
      <c r="K104" s="354"/>
      <c r="L104" s="354"/>
      <c r="M104" s="22">
        <f t="shared" si="11"/>
        <v>0</v>
      </c>
      <c r="N104" s="24">
        <f>'D3-Capex'!I70</f>
        <v>0</v>
      </c>
      <c r="O104" s="23">
        <f>'D3-Capex'!J70</f>
        <v>0</v>
      </c>
      <c r="P104" s="83">
        <f>'D3-Capex'!K70</f>
        <v>0</v>
      </c>
    </row>
    <row r="105" spans="1:16" x14ac:dyDescent="0.25">
      <c r="A105" s="238" t="s">
        <v>909</v>
      </c>
      <c r="B105" s="354"/>
      <c r="C105" s="354"/>
      <c r="D105" s="354"/>
      <c r="E105" s="354"/>
      <c r="F105" s="354"/>
      <c r="G105" s="354"/>
      <c r="H105" s="354"/>
      <c r="I105" s="354"/>
      <c r="J105" s="354"/>
      <c r="K105" s="354"/>
      <c r="L105" s="354"/>
      <c r="M105" s="22">
        <f t="shared" ref="M105:M168" si="46">N105-SUM(B105:L105)</f>
        <v>0</v>
      </c>
      <c r="N105" s="24">
        <f>'D3-Capex'!I71</f>
        <v>0</v>
      </c>
      <c r="O105" s="23">
        <f>'D3-Capex'!J71</f>
        <v>0</v>
      </c>
      <c r="P105" s="83">
        <f>'D3-Capex'!K71</f>
        <v>0</v>
      </c>
    </row>
    <row r="106" spans="1:16" x14ac:dyDescent="0.25">
      <c r="A106" s="238" t="s">
        <v>861</v>
      </c>
      <c r="B106" s="354"/>
      <c r="C106" s="354"/>
      <c r="D106" s="354"/>
      <c r="E106" s="354"/>
      <c r="F106" s="354"/>
      <c r="G106" s="354"/>
      <c r="H106" s="354"/>
      <c r="I106" s="354"/>
      <c r="J106" s="354"/>
      <c r="K106" s="354"/>
      <c r="L106" s="354"/>
      <c r="M106" s="22">
        <f t="shared" si="46"/>
        <v>0</v>
      </c>
      <c r="N106" s="24">
        <f>'D3-Capex'!I72</f>
        <v>0</v>
      </c>
      <c r="O106" s="23">
        <f>'D3-Capex'!J72</f>
        <v>0</v>
      </c>
      <c r="P106" s="83">
        <f>'D3-Capex'!K72</f>
        <v>0</v>
      </c>
    </row>
    <row r="107" spans="1:16" x14ac:dyDescent="0.25">
      <c r="A107" s="21"/>
      <c r="B107" s="23"/>
      <c r="C107" s="23"/>
      <c r="D107" s="23"/>
      <c r="E107" s="23"/>
      <c r="F107" s="23"/>
      <c r="G107" s="23"/>
      <c r="H107" s="23"/>
      <c r="I107" s="23"/>
      <c r="J107" s="23"/>
      <c r="K107" s="23"/>
      <c r="L107" s="23"/>
      <c r="M107" s="22"/>
      <c r="N107" s="24"/>
      <c r="O107" s="23"/>
      <c r="P107" s="83"/>
    </row>
    <row r="108" spans="1:16" x14ac:dyDescent="0.25">
      <c r="A108" s="19" t="s">
        <v>910</v>
      </c>
      <c r="B108" s="26">
        <f>B109+B132</f>
        <v>0</v>
      </c>
      <c r="C108" s="26">
        <f t="shared" ref="C108" si="47">C109+C132</f>
        <v>0</v>
      </c>
      <c r="D108" s="26">
        <f>D109+D132</f>
        <v>0</v>
      </c>
      <c r="E108" s="26">
        <f t="shared" ref="E108" si="48">E109+E132</f>
        <v>0</v>
      </c>
      <c r="F108" s="26">
        <f>F109+F132</f>
        <v>0</v>
      </c>
      <c r="G108" s="26">
        <f t="shared" ref="G108" si="49">G109+G132</f>
        <v>0</v>
      </c>
      <c r="H108" s="26">
        <f>H109+H132</f>
        <v>0</v>
      </c>
      <c r="I108" s="26">
        <f t="shared" ref="I108" si="50">I109+I132</f>
        <v>0</v>
      </c>
      <c r="J108" s="26">
        <f>J109+J132</f>
        <v>0</v>
      </c>
      <c r="K108" s="26">
        <f t="shared" ref="K108:L108" si="51">K109+K132</f>
        <v>0</v>
      </c>
      <c r="L108" s="26">
        <f t="shared" si="51"/>
        <v>0</v>
      </c>
      <c r="M108" s="22">
        <f t="shared" si="46"/>
        <v>0</v>
      </c>
      <c r="N108" s="24">
        <f>'D3-Capex'!I74</f>
        <v>0</v>
      </c>
      <c r="O108" s="23">
        <f>'D3-Capex'!J74</f>
        <v>0</v>
      </c>
      <c r="P108" s="83">
        <f>'D3-Capex'!K74</f>
        <v>0</v>
      </c>
    </row>
    <row r="109" spans="1:16" x14ac:dyDescent="0.25">
      <c r="A109" s="20" t="s">
        <v>911</v>
      </c>
      <c r="B109" s="48">
        <f>SUM(B110:B131)</f>
        <v>0</v>
      </c>
      <c r="C109" s="48">
        <f t="shared" ref="C109" si="52">SUM(C110:C131)</f>
        <v>0</v>
      </c>
      <c r="D109" s="48">
        <f>SUM(D110:D131)</f>
        <v>0</v>
      </c>
      <c r="E109" s="48">
        <f t="shared" ref="E109" si="53">SUM(E110:E131)</f>
        <v>0</v>
      </c>
      <c r="F109" s="48">
        <f>SUM(F110:F131)</f>
        <v>0</v>
      </c>
      <c r="G109" s="48">
        <f t="shared" ref="G109" si="54">SUM(G110:G131)</f>
        <v>0</v>
      </c>
      <c r="H109" s="48">
        <f>SUM(H110:H131)</f>
        <v>0</v>
      </c>
      <c r="I109" s="48">
        <f t="shared" ref="I109" si="55">SUM(I110:I131)</f>
        <v>0</v>
      </c>
      <c r="J109" s="48">
        <f>SUM(J110:J131)</f>
        <v>0</v>
      </c>
      <c r="K109" s="48">
        <f t="shared" ref="K109:L109" si="56">SUM(K110:K131)</f>
        <v>0</v>
      </c>
      <c r="L109" s="48">
        <f t="shared" si="56"/>
        <v>0</v>
      </c>
      <c r="M109" s="22">
        <f t="shared" si="46"/>
        <v>0</v>
      </c>
      <c r="N109" s="24">
        <f>'D3-Capex'!I75</f>
        <v>0</v>
      </c>
      <c r="O109" s="23">
        <f>'D3-Capex'!J75</f>
        <v>0</v>
      </c>
      <c r="P109" s="83">
        <f>'D3-Capex'!K75</f>
        <v>0</v>
      </c>
    </row>
    <row r="110" spans="1:16" x14ac:dyDescent="0.25">
      <c r="A110" s="238" t="s">
        <v>912</v>
      </c>
      <c r="B110" s="354"/>
      <c r="C110" s="354"/>
      <c r="D110" s="354"/>
      <c r="E110" s="354"/>
      <c r="F110" s="354"/>
      <c r="G110" s="354"/>
      <c r="H110" s="354"/>
      <c r="I110" s="354"/>
      <c r="J110" s="354"/>
      <c r="K110" s="354"/>
      <c r="L110" s="354"/>
      <c r="M110" s="22">
        <f t="shared" si="46"/>
        <v>0</v>
      </c>
      <c r="N110" s="24">
        <f>'D3-Capex'!I76</f>
        <v>0</v>
      </c>
      <c r="O110" s="23">
        <f>'D3-Capex'!J76</f>
        <v>0</v>
      </c>
      <c r="P110" s="83">
        <f>'D3-Capex'!K76</f>
        <v>0</v>
      </c>
    </row>
    <row r="111" spans="1:16" x14ac:dyDescent="0.25">
      <c r="A111" s="238" t="s">
        <v>913</v>
      </c>
      <c r="B111" s="354"/>
      <c r="C111" s="354"/>
      <c r="D111" s="354"/>
      <c r="E111" s="354"/>
      <c r="F111" s="354"/>
      <c r="G111" s="354"/>
      <c r="H111" s="354"/>
      <c r="I111" s="354"/>
      <c r="J111" s="354"/>
      <c r="K111" s="354"/>
      <c r="L111" s="354"/>
      <c r="M111" s="22">
        <f t="shared" si="46"/>
        <v>0</v>
      </c>
      <c r="N111" s="24">
        <f>'D3-Capex'!I77</f>
        <v>0</v>
      </c>
      <c r="O111" s="23">
        <f>'D3-Capex'!J77</f>
        <v>0</v>
      </c>
      <c r="P111" s="83">
        <f>'D3-Capex'!K77</f>
        <v>0</v>
      </c>
    </row>
    <row r="112" spans="1:16" x14ac:dyDescent="0.25">
      <c r="A112" s="238" t="s">
        <v>914</v>
      </c>
      <c r="B112" s="354"/>
      <c r="C112" s="354"/>
      <c r="D112" s="354"/>
      <c r="E112" s="354"/>
      <c r="F112" s="354"/>
      <c r="G112" s="354"/>
      <c r="H112" s="354"/>
      <c r="I112" s="354"/>
      <c r="J112" s="354"/>
      <c r="K112" s="354"/>
      <c r="L112" s="354"/>
      <c r="M112" s="22">
        <f t="shared" si="46"/>
        <v>0</v>
      </c>
      <c r="N112" s="24">
        <f>'D3-Capex'!I78</f>
        <v>0</v>
      </c>
      <c r="O112" s="23">
        <f>'D3-Capex'!J78</f>
        <v>0</v>
      </c>
      <c r="P112" s="83">
        <f>'D3-Capex'!K78</f>
        <v>0</v>
      </c>
    </row>
    <row r="113" spans="1:16" x14ac:dyDescent="0.25">
      <c r="A113" s="238" t="s">
        <v>915</v>
      </c>
      <c r="B113" s="354"/>
      <c r="C113" s="354"/>
      <c r="D113" s="354"/>
      <c r="E113" s="354"/>
      <c r="F113" s="354"/>
      <c r="G113" s="354"/>
      <c r="H113" s="354"/>
      <c r="I113" s="354"/>
      <c r="J113" s="354"/>
      <c r="K113" s="354"/>
      <c r="L113" s="354"/>
      <c r="M113" s="22">
        <f t="shared" si="46"/>
        <v>0</v>
      </c>
      <c r="N113" s="24">
        <f>'D3-Capex'!I79</f>
        <v>0</v>
      </c>
      <c r="O113" s="23">
        <f>'D3-Capex'!J79</f>
        <v>0</v>
      </c>
      <c r="P113" s="83">
        <f>'D3-Capex'!K79</f>
        <v>0</v>
      </c>
    </row>
    <row r="114" spans="1:16" x14ac:dyDescent="0.25">
      <c r="A114" s="238" t="s">
        <v>916</v>
      </c>
      <c r="B114" s="354"/>
      <c r="C114" s="354"/>
      <c r="D114" s="354"/>
      <c r="E114" s="354"/>
      <c r="F114" s="354"/>
      <c r="G114" s="354"/>
      <c r="H114" s="354"/>
      <c r="I114" s="354"/>
      <c r="J114" s="354"/>
      <c r="K114" s="354"/>
      <c r="L114" s="354"/>
      <c r="M114" s="22">
        <f t="shared" si="46"/>
        <v>0</v>
      </c>
      <c r="N114" s="24">
        <f>'D3-Capex'!I80</f>
        <v>0</v>
      </c>
      <c r="O114" s="23">
        <f>'D3-Capex'!J80</f>
        <v>0</v>
      </c>
      <c r="P114" s="83">
        <f>'D3-Capex'!K80</f>
        <v>0</v>
      </c>
    </row>
    <row r="115" spans="1:16" x14ac:dyDescent="0.25">
      <c r="A115" s="238" t="s">
        <v>917</v>
      </c>
      <c r="B115" s="354"/>
      <c r="C115" s="354"/>
      <c r="D115" s="354"/>
      <c r="E115" s="354"/>
      <c r="F115" s="354"/>
      <c r="G115" s="354"/>
      <c r="H115" s="354"/>
      <c r="I115" s="354"/>
      <c r="J115" s="354"/>
      <c r="K115" s="354"/>
      <c r="L115" s="354"/>
      <c r="M115" s="22">
        <f t="shared" si="46"/>
        <v>0</v>
      </c>
      <c r="N115" s="24">
        <f>'D3-Capex'!I81</f>
        <v>0</v>
      </c>
      <c r="O115" s="23">
        <f>'D3-Capex'!J81</f>
        <v>0</v>
      </c>
      <c r="P115" s="83">
        <f>'D3-Capex'!K81</f>
        <v>0</v>
      </c>
    </row>
    <row r="116" spans="1:16" x14ac:dyDescent="0.25">
      <c r="A116" s="238" t="s">
        <v>918</v>
      </c>
      <c r="B116" s="354"/>
      <c r="C116" s="354"/>
      <c r="D116" s="354"/>
      <c r="E116" s="354"/>
      <c r="F116" s="354"/>
      <c r="G116" s="354"/>
      <c r="H116" s="354"/>
      <c r="I116" s="354"/>
      <c r="J116" s="354"/>
      <c r="K116" s="354"/>
      <c r="L116" s="354"/>
      <c r="M116" s="22">
        <f t="shared" si="46"/>
        <v>0</v>
      </c>
      <c r="N116" s="24">
        <f>'D3-Capex'!I82</f>
        <v>0</v>
      </c>
      <c r="O116" s="23">
        <f>'D3-Capex'!J82</f>
        <v>0</v>
      </c>
      <c r="P116" s="83">
        <f>'D3-Capex'!K82</f>
        <v>0</v>
      </c>
    </row>
    <row r="117" spans="1:16" x14ac:dyDescent="0.25">
      <c r="A117" s="238" t="s">
        <v>919</v>
      </c>
      <c r="B117" s="354"/>
      <c r="C117" s="354"/>
      <c r="D117" s="354"/>
      <c r="E117" s="354"/>
      <c r="F117" s="354"/>
      <c r="G117" s="354"/>
      <c r="H117" s="354"/>
      <c r="I117" s="354"/>
      <c r="J117" s="354"/>
      <c r="K117" s="354"/>
      <c r="L117" s="354"/>
      <c r="M117" s="22">
        <f t="shared" si="46"/>
        <v>0</v>
      </c>
      <c r="N117" s="24">
        <f>'D3-Capex'!I83</f>
        <v>0</v>
      </c>
      <c r="O117" s="23">
        <f>'D3-Capex'!J83</f>
        <v>0</v>
      </c>
      <c r="P117" s="83">
        <f>'D3-Capex'!K83</f>
        <v>0</v>
      </c>
    </row>
    <row r="118" spans="1:16" x14ac:dyDescent="0.25">
      <c r="A118" s="238" t="s">
        <v>920</v>
      </c>
      <c r="B118" s="354"/>
      <c r="C118" s="354"/>
      <c r="D118" s="354"/>
      <c r="E118" s="354"/>
      <c r="F118" s="354"/>
      <c r="G118" s="354"/>
      <c r="H118" s="354"/>
      <c r="I118" s="354"/>
      <c r="J118" s="354"/>
      <c r="K118" s="354"/>
      <c r="L118" s="354"/>
      <c r="M118" s="22">
        <f t="shared" si="46"/>
        <v>0</v>
      </c>
      <c r="N118" s="24">
        <f>'D3-Capex'!I84</f>
        <v>0</v>
      </c>
      <c r="O118" s="23">
        <f>'D3-Capex'!J84</f>
        <v>0</v>
      </c>
      <c r="P118" s="83">
        <f>'D3-Capex'!K84</f>
        <v>0</v>
      </c>
    </row>
    <row r="119" spans="1:16" x14ac:dyDescent="0.25">
      <c r="A119" s="238" t="s">
        <v>90</v>
      </c>
      <c r="B119" s="354"/>
      <c r="C119" s="354"/>
      <c r="D119" s="354"/>
      <c r="E119" s="354"/>
      <c r="F119" s="354"/>
      <c r="G119" s="354"/>
      <c r="H119" s="354"/>
      <c r="I119" s="354"/>
      <c r="J119" s="354"/>
      <c r="K119" s="354"/>
      <c r="L119" s="354"/>
      <c r="M119" s="22">
        <f t="shared" si="46"/>
        <v>0</v>
      </c>
      <c r="N119" s="24">
        <f>'D3-Capex'!I85</f>
        <v>0</v>
      </c>
      <c r="O119" s="23">
        <f>'D3-Capex'!J85</f>
        <v>0</v>
      </c>
      <c r="P119" s="83">
        <f>'D3-Capex'!K85</f>
        <v>0</v>
      </c>
    </row>
    <row r="120" spans="1:16" x14ac:dyDescent="0.25">
      <c r="A120" s="238" t="s">
        <v>921</v>
      </c>
      <c r="B120" s="354"/>
      <c r="C120" s="354"/>
      <c r="D120" s="354"/>
      <c r="E120" s="354"/>
      <c r="F120" s="354"/>
      <c r="G120" s="354"/>
      <c r="H120" s="354"/>
      <c r="I120" s="354"/>
      <c r="J120" s="354"/>
      <c r="K120" s="354"/>
      <c r="L120" s="354"/>
      <c r="M120" s="22">
        <f t="shared" si="46"/>
        <v>0</v>
      </c>
      <c r="N120" s="24">
        <f>'D3-Capex'!I86</f>
        <v>0</v>
      </c>
      <c r="O120" s="23">
        <f>'D3-Capex'!J86</f>
        <v>0</v>
      </c>
      <c r="P120" s="83">
        <f>'D3-Capex'!K86</f>
        <v>0</v>
      </c>
    </row>
    <row r="121" spans="1:16" x14ac:dyDescent="0.25">
      <c r="A121" s="238" t="s">
        <v>922</v>
      </c>
      <c r="B121" s="354"/>
      <c r="C121" s="354"/>
      <c r="D121" s="354"/>
      <c r="E121" s="354"/>
      <c r="F121" s="354"/>
      <c r="G121" s="354"/>
      <c r="H121" s="354"/>
      <c r="I121" s="354"/>
      <c r="J121" s="354"/>
      <c r="K121" s="354"/>
      <c r="L121" s="354"/>
      <c r="M121" s="22">
        <f t="shared" si="46"/>
        <v>0</v>
      </c>
      <c r="N121" s="24">
        <f>'D3-Capex'!I87</f>
        <v>0</v>
      </c>
      <c r="O121" s="23">
        <f>'D3-Capex'!J87</f>
        <v>0</v>
      </c>
      <c r="P121" s="83">
        <f>'D3-Capex'!K87</f>
        <v>0</v>
      </c>
    </row>
    <row r="122" spans="1:16" x14ac:dyDescent="0.25">
      <c r="A122" s="238" t="s">
        <v>1025</v>
      </c>
      <c r="B122" s="354"/>
      <c r="C122" s="354"/>
      <c r="D122" s="354"/>
      <c r="E122" s="354"/>
      <c r="F122" s="354"/>
      <c r="G122" s="354"/>
      <c r="H122" s="354"/>
      <c r="I122" s="354"/>
      <c r="J122" s="354"/>
      <c r="K122" s="354"/>
      <c r="L122" s="354"/>
      <c r="M122" s="22">
        <f t="shared" si="46"/>
        <v>0</v>
      </c>
      <c r="N122" s="24">
        <f>'D3-Capex'!I88</f>
        <v>0</v>
      </c>
      <c r="O122" s="23">
        <f>'D3-Capex'!J88</f>
        <v>0</v>
      </c>
      <c r="P122" s="83">
        <f>'D3-Capex'!K88</f>
        <v>0</v>
      </c>
    </row>
    <row r="123" spans="1:16" x14ac:dyDescent="0.25">
      <c r="A123" s="238" t="s">
        <v>923</v>
      </c>
      <c r="B123" s="354"/>
      <c r="C123" s="354"/>
      <c r="D123" s="354"/>
      <c r="E123" s="354"/>
      <c r="F123" s="354"/>
      <c r="G123" s="354"/>
      <c r="H123" s="354"/>
      <c r="I123" s="354"/>
      <c r="J123" s="354"/>
      <c r="K123" s="354"/>
      <c r="L123" s="354"/>
      <c r="M123" s="22">
        <f t="shared" si="46"/>
        <v>0</v>
      </c>
      <c r="N123" s="24">
        <f>'D3-Capex'!I89</f>
        <v>0</v>
      </c>
      <c r="O123" s="23">
        <f>'D3-Capex'!J89</f>
        <v>0</v>
      </c>
      <c r="P123" s="83">
        <f>'D3-Capex'!K89</f>
        <v>0</v>
      </c>
    </row>
    <row r="124" spans="1:16" x14ac:dyDescent="0.25">
      <c r="A124" s="238" t="s">
        <v>924</v>
      </c>
      <c r="B124" s="354"/>
      <c r="C124" s="354"/>
      <c r="D124" s="354"/>
      <c r="E124" s="354"/>
      <c r="F124" s="354"/>
      <c r="G124" s="354"/>
      <c r="H124" s="354"/>
      <c r="I124" s="354"/>
      <c r="J124" s="354"/>
      <c r="K124" s="354"/>
      <c r="L124" s="354"/>
      <c r="M124" s="22">
        <f t="shared" si="46"/>
        <v>0</v>
      </c>
      <c r="N124" s="24">
        <f>'D3-Capex'!I90</f>
        <v>0</v>
      </c>
      <c r="O124" s="23">
        <f>'D3-Capex'!J90</f>
        <v>0</v>
      </c>
      <c r="P124" s="83">
        <f>'D3-Capex'!K90</f>
        <v>0</v>
      </c>
    </row>
    <row r="125" spans="1:16" x14ac:dyDescent="0.25">
      <c r="A125" s="238" t="s">
        <v>925</v>
      </c>
      <c r="B125" s="354"/>
      <c r="C125" s="354"/>
      <c r="D125" s="354"/>
      <c r="E125" s="354"/>
      <c r="F125" s="354"/>
      <c r="G125" s="354"/>
      <c r="H125" s="354"/>
      <c r="I125" s="354"/>
      <c r="J125" s="354"/>
      <c r="K125" s="354"/>
      <c r="L125" s="354"/>
      <c r="M125" s="22">
        <f t="shared" si="46"/>
        <v>0</v>
      </c>
      <c r="N125" s="24">
        <f>'D3-Capex'!I91</f>
        <v>0</v>
      </c>
      <c r="O125" s="23">
        <f>'D3-Capex'!J91</f>
        <v>0</v>
      </c>
      <c r="P125" s="83">
        <f>'D3-Capex'!K91</f>
        <v>0</v>
      </c>
    </row>
    <row r="126" spans="1:16" x14ac:dyDescent="0.25">
      <c r="A126" s="238" t="s">
        <v>11</v>
      </c>
      <c r="B126" s="354"/>
      <c r="C126" s="354"/>
      <c r="D126" s="354"/>
      <c r="E126" s="354"/>
      <c r="F126" s="354"/>
      <c r="G126" s="354"/>
      <c r="H126" s="354"/>
      <c r="I126" s="354"/>
      <c r="J126" s="354"/>
      <c r="K126" s="354"/>
      <c r="L126" s="354"/>
      <c r="M126" s="22">
        <f t="shared" si="46"/>
        <v>0</v>
      </c>
      <c r="N126" s="24">
        <f>'D3-Capex'!I92</f>
        <v>0</v>
      </c>
      <c r="O126" s="23">
        <f>'D3-Capex'!J92</f>
        <v>0</v>
      </c>
      <c r="P126" s="83">
        <f>'D3-Capex'!K92</f>
        <v>0</v>
      </c>
    </row>
    <row r="127" spans="1:16" x14ac:dyDescent="0.25">
      <c r="A127" s="238" t="s">
        <v>926</v>
      </c>
      <c r="B127" s="354"/>
      <c r="C127" s="354"/>
      <c r="D127" s="354"/>
      <c r="E127" s="354"/>
      <c r="F127" s="354"/>
      <c r="G127" s="354"/>
      <c r="H127" s="354"/>
      <c r="I127" s="354"/>
      <c r="J127" s="354"/>
      <c r="K127" s="354"/>
      <c r="L127" s="354"/>
      <c r="M127" s="22">
        <f t="shared" si="46"/>
        <v>0</v>
      </c>
      <c r="N127" s="24">
        <f>'D3-Capex'!I93</f>
        <v>0</v>
      </c>
      <c r="O127" s="23">
        <f>'D3-Capex'!J93</f>
        <v>0</v>
      </c>
      <c r="P127" s="83">
        <f>'D3-Capex'!K93</f>
        <v>0</v>
      </c>
    </row>
    <row r="128" spans="1:16" x14ac:dyDescent="0.25">
      <c r="A128" s="238" t="s">
        <v>10</v>
      </c>
      <c r="B128" s="354"/>
      <c r="C128" s="354"/>
      <c r="D128" s="354"/>
      <c r="E128" s="354"/>
      <c r="F128" s="354"/>
      <c r="G128" s="354"/>
      <c r="H128" s="354"/>
      <c r="I128" s="354"/>
      <c r="J128" s="354"/>
      <c r="K128" s="354"/>
      <c r="L128" s="354"/>
      <c r="M128" s="22">
        <f t="shared" si="46"/>
        <v>0</v>
      </c>
      <c r="N128" s="24">
        <f>'D3-Capex'!I94</f>
        <v>0</v>
      </c>
      <c r="O128" s="23">
        <f>'D3-Capex'!J94</f>
        <v>0</v>
      </c>
      <c r="P128" s="83">
        <f>'D3-Capex'!K94</f>
        <v>0</v>
      </c>
    </row>
    <row r="129" spans="1:16" x14ac:dyDescent="0.25">
      <c r="A129" s="238" t="s">
        <v>927</v>
      </c>
      <c r="B129" s="354"/>
      <c r="C129" s="354"/>
      <c r="D129" s="354"/>
      <c r="E129" s="354"/>
      <c r="F129" s="354"/>
      <c r="G129" s="354"/>
      <c r="H129" s="354"/>
      <c r="I129" s="354"/>
      <c r="J129" s="354"/>
      <c r="K129" s="354"/>
      <c r="L129" s="354"/>
      <c r="M129" s="22">
        <f t="shared" si="46"/>
        <v>0</v>
      </c>
      <c r="N129" s="24">
        <f>'D3-Capex'!I95</f>
        <v>0</v>
      </c>
      <c r="O129" s="23">
        <f>'D3-Capex'!J95</f>
        <v>0</v>
      </c>
      <c r="P129" s="83">
        <f>'D3-Capex'!K95</f>
        <v>0</v>
      </c>
    </row>
    <row r="130" spans="1:16" x14ac:dyDescent="0.25">
      <c r="A130" s="238" t="s">
        <v>928</v>
      </c>
      <c r="B130" s="354"/>
      <c r="C130" s="354"/>
      <c r="D130" s="354"/>
      <c r="E130" s="354"/>
      <c r="F130" s="354"/>
      <c r="G130" s="354"/>
      <c r="H130" s="354"/>
      <c r="I130" s="354"/>
      <c r="J130" s="354"/>
      <c r="K130" s="354"/>
      <c r="L130" s="354"/>
      <c r="M130" s="22">
        <f t="shared" si="46"/>
        <v>0</v>
      </c>
      <c r="N130" s="24">
        <f>'D3-Capex'!I96</f>
        <v>0</v>
      </c>
      <c r="O130" s="23">
        <f>'D3-Capex'!J96</f>
        <v>0</v>
      </c>
      <c r="P130" s="83">
        <f>'D3-Capex'!K96</f>
        <v>0</v>
      </c>
    </row>
    <row r="131" spans="1:16" x14ac:dyDescent="0.25">
      <c r="A131" s="238" t="s">
        <v>861</v>
      </c>
      <c r="B131" s="354"/>
      <c r="C131" s="354"/>
      <c r="D131" s="354"/>
      <c r="E131" s="354"/>
      <c r="F131" s="354"/>
      <c r="G131" s="354"/>
      <c r="H131" s="354"/>
      <c r="I131" s="354"/>
      <c r="J131" s="354"/>
      <c r="K131" s="354"/>
      <c r="L131" s="354"/>
      <c r="M131" s="22">
        <f t="shared" si="46"/>
        <v>0</v>
      </c>
      <c r="N131" s="24">
        <f>'D3-Capex'!I97</f>
        <v>0</v>
      </c>
      <c r="O131" s="23">
        <f>'D3-Capex'!J97</f>
        <v>0</v>
      </c>
      <c r="P131" s="83">
        <f>'D3-Capex'!K97</f>
        <v>0</v>
      </c>
    </row>
    <row r="132" spans="1:16" x14ac:dyDescent="0.25">
      <c r="A132" s="20" t="s">
        <v>929</v>
      </c>
      <c r="B132" s="23">
        <f>SUM(B133:B135)</f>
        <v>0</v>
      </c>
      <c r="C132" s="23">
        <f t="shared" ref="C132" si="57">SUM(C133:C135)</f>
        <v>0</v>
      </c>
      <c r="D132" s="23">
        <f>SUM(D133:D135)</f>
        <v>0</v>
      </c>
      <c r="E132" s="23">
        <f t="shared" ref="E132" si="58">SUM(E133:E135)</f>
        <v>0</v>
      </c>
      <c r="F132" s="23">
        <f>SUM(F133:F135)</f>
        <v>0</v>
      </c>
      <c r="G132" s="23">
        <f t="shared" ref="G132" si="59">SUM(G133:G135)</f>
        <v>0</v>
      </c>
      <c r="H132" s="23">
        <f>SUM(H133:H135)</f>
        <v>0</v>
      </c>
      <c r="I132" s="23">
        <f t="shared" ref="I132" si="60">SUM(I133:I135)</f>
        <v>0</v>
      </c>
      <c r="J132" s="23">
        <f>SUM(J133:J135)</f>
        <v>0</v>
      </c>
      <c r="K132" s="23">
        <f t="shared" ref="K132:L132" si="61">SUM(K133:K135)</f>
        <v>0</v>
      </c>
      <c r="L132" s="23">
        <f t="shared" si="61"/>
        <v>0</v>
      </c>
      <c r="M132" s="22">
        <f t="shared" si="46"/>
        <v>0</v>
      </c>
      <c r="N132" s="24">
        <f>'D3-Capex'!I98</f>
        <v>0</v>
      </c>
      <c r="O132" s="23">
        <f>'D3-Capex'!J98</f>
        <v>0</v>
      </c>
      <c r="P132" s="83">
        <f>'D3-Capex'!K98</f>
        <v>0</v>
      </c>
    </row>
    <row r="133" spans="1:16" x14ac:dyDescent="0.25">
      <c r="A133" s="238" t="s">
        <v>930</v>
      </c>
      <c r="B133" s="354"/>
      <c r="C133" s="354"/>
      <c r="D133" s="354"/>
      <c r="E133" s="354"/>
      <c r="F133" s="354"/>
      <c r="G133" s="354"/>
      <c r="H133" s="354"/>
      <c r="I133" s="354"/>
      <c r="J133" s="354"/>
      <c r="K133" s="354"/>
      <c r="L133" s="354"/>
      <c r="M133" s="22">
        <f t="shared" si="46"/>
        <v>0</v>
      </c>
      <c r="N133" s="24">
        <f>'D3-Capex'!I99</f>
        <v>0</v>
      </c>
      <c r="O133" s="23">
        <f>'D3-Capex'!J99</f>
        <v>0</v>
      </c>
      <c r="P133" s="83">
        <f>'D3-Capex'!K99</f>
        <v>0</v>
      </c>
    </row>
    <row r="134" spans="1:16" x14ac:dyDescent="0.25">
      <c r="A134" s="238" t="s">
        <v>931</v>
      </c>
      <c r="B134" s="354"/>
      <c r="C134" s="354"/>
      <c r="D134" s="354"/>
      <c r="E134" s="354"/>
      <c r="F134" s="354"/>
      <c r="G134" s="354"/>
      <c r="H134" s="354"/>
      <c r="I134" s="354"/>
      <c r="J134" s="354"/>
      <c r="K134" s="354"/>
      <c r="L134" s="354"/>
      <c r="M134" s="22">
        <f t="shared" si="46"/>
        <v>0</v>
      </c>
      <c r="N134" s="24">
        <f>'D3-Capex'!I100</f>
        <v>0</v>
      </c>
      <c r="O134" s="23">
        <f>'D3-Capex'!J100</f>
        <v>0</v>
      </c>
      <c r="P134" s="83">
        <f>'D3-Capex'!K100</f>
        <v>0</v>
      </c>
    </row>
    <row r="135" spans="1:16" x14ac:dyDescent="0.25">
      <c r="A135" s="238" t="s">
        <v>861</v>
      </c>
      <c r="B135" s="354"/>
      <c r="C135" s="354"/>
      <c r="D135" s="354"/>
      <c r="E135" s="354"/>
      <c r="F135" s="354"/>
      <c r="G135" s="354"/>
      <c r="H135" s="354"/>
      <c r="I135" s="354"/>
      <c r="J135" s="354"/>
      <c r="K135" s="354"/>
      <c r="L135" s="354"/>
      <c r="M135" s="22">
        <f t="shared" si="46"/>
        <v>0</v>
      </c>
      <c r="N135" s="24">
        <f>'D3-Capex'!I101</f>
        <v>0</v>
      </c>
      <c r="O135" s="23">
        <f>'D3-Capex'!J101</f>
        <v>0</v>
      </c>
      <c r="P135" s="83">
        <f>'D3-Capex'!K101</f>
        <v>0</v>
      </c>
    </row>
    <row r="136" spans="1:16" x14ac:dyDescent="0.25">
      <c r="A136" s="21"/>
      <c r="B136" s="23"/>
      <c r="C136" s="23"/>
      <c r="D136" s="23"/>
      <c r="E136" s="23"/>
      <c r="F136" s="23"/>
      <c r="G136" s="23"/>
      <c r="H136" s="23"/>
      <c r="I136" s="23"/>
      <c r="J136" s="23"/>
      <c r="K136" s="23"/>
      <c r="L136" s="23"/>
      <c r="M136" s="22"/>
      <c r="N136" s="24"/>
      <c r="O136" s="23"/>
      <c r="P136" s="83"/>
    </row>
    <row r="137" spans="1:16" x14ac:dyDescent="0.25">
      <c r="A137" s="19" t="s">
        <v>187</v>
      </c>
      <c r="B137" s="23">
        <f>SUM(B138:B142)</f>
        <v>0</v>
      </c>
      <c r="C137" s="23">
        <f t="shared" ref="C137" si="62">SUM(C138:C142)</f>
        <v>0</v>
      </c>
      <c r="D137" s="23">
        <f>SUM(D138:D142)</f>
        <v>0</v>
      </c>
      <c r="E137" s="23">
        <f t="shared" ref="E137" si="63">SUM(E138:E142)</f>
        <v>0</v>
      </c>
      <c r="F137" s="23">
        <f>SUM(F138:F142)</f>
        <v>0</v>
      </c>
      <c r="G137" s="23">
        <f t="shared" ref="G137" si="64">SUM(G138:G142)</f>
        <v>0</v>
      </c>
      <c r="H137" s="23">
        <f>SUM(H138:H142)</f>
        <v>0</v>
      </c>
      <c r="I137" s="23">
        <f t="shared" ref="I137" si="65">SUM(I138:I142)</f>
        <v>0</v>
      </c>
      <c r="J137" s="23">
        <f>SUM(J138:J142)</f>
        <v>0</v>
      </c>
      <c r="K137" s="23">
        <f t="shared" ref="K137:L137" si="66">SUM(K138:K142)</f>
        <v>0</v>
      </c>
      <c r="L137" s="23">
        <f t="shared" si="66"/>
        <v>0</v>
      </c>
      <c r="M137" s="22">
        <f t="shared" si="46"/>
        <v>0</v>
      </c>
      <c r="N137" s="24">
        <f>'D3-Capex'!I103</f>
        <v>0</v>
      </c>
      <c r="O137" s="23">
        <f>'D3-Capex'!J103</f>
        <v>0</v>
      </c>
      <c r="P137" s="83">
        <f>'D3-Capex'!K103</f>
        <v>0</v>
      </c>
    </row>
    <row r="138" spans="1:16" x14ac:dyDescent="0.25">
      <c r="A138" s="20" t="s">
        <v>932</v>
      </c>
      <c r="B138" s="364"/>
      <c r="C138" s="364"/>
      <c r="D138" s="364"/>
      <c r="E138" s="364"/>
      <c r="F138" s="364"/>
      <c r="G138" s="364"/>
      <c r="H138" s="364"/>
      <c r="I138" s="364"/>
      <c r="J138" s="364"/>
      <c r="K138" s="364"/>
      <c r="L138" s="364"/>
      <c r="M138" s="22">
        <f t="shared" si="46"/>
        <v>0</v>
      </c>
      <c r="N138" s="24">
        <f>'D3-Capex'!I104</f>
        <v>0</v>
      </c>
      <c r="O138" s="23">
        <f>'D3-Capex'!J104</f>
        <v>0</v>
      </c>
      <c r="P138" s="83">
        <f>'D3-Capex'!K104</f>
        <v>0</v>
      </c>
    </row>
    <row r="139" spans="1:16" x14ac:dyDescent="0.25">
      <c r="A139" s="20" t="s">
        <v>933</v>
      </c>
      <c r="B139" s="368"/>
      <c r="C139" s="368"/>
      <c r="D139" s="368"/>
      <c r="E139" s="368"/>
      <c r="F139" s="368"/>
      <c r="G139" s="368"/>
      <c r="H139" s="368"/>
      <c r="I139" s="368"/>
      <c r="J139" s="368"/>
      <c r="K139" s="368"/>
      <c r="L139" s="368"/>
      <c r="M139" s="22">
        <f t="shared" si="46"/>
        <v>0</v>
      </c>
      <c r="N139" s="24">
        <f>'D3-Capex'!I105</f>
        <v>0</v>
      </c>
      <c r="O139" s="23">
        <f>'D3-Capex'!J105</f>
        <v>0</v>
      </c>
      <c r="P139" s="83">
        <f>'D3-Capex'!K105</f>
        <v>0</v>
      </c>
    </row>
    <row r="140" spans="1:16" x14ac:dyDescent="0.25">
      <c r="A140" s="20" t="s">
        <v>934</v>
      </c>
      <c r="B140" s="368"/>
      <c r="C140" s="368"/>
      <c r="D140" s="368"/>
      <c r="E140" s="368"/>
      <c r="F140" s="368"/>
      <c r="G140" s="368"/>
      <c r="H140" s="368"/>
      <c r="I140" s="368"/>
      <c r="J140" s="368"/>
      <c r="K140" s="368"/>
      <c r="L140" s="368"/>
      <c r="M140" s="22">
        <f t="shared" si="46"/>
        <v>0</v>
      </c>
      <c r="N140" s="24">
        <f>'D3-Capex'!I106</f>
        <v>0</v>
      </c>
      <c r="O140" s="23">
        <f>'D3-Capex'!J106</f>
        <v>0</v>
      </c>
      <c r="P140" s="83">
        <f>'D3-Capex'!K106</f>
        <v>0</v>
      </c>
    </row>
    <row r="141" spans="1:16" x14ac:dyDescent="0.25">
      <c r="A141" s="20" t="s">
        <v>935</v>
      </c>
      <c r="B141" s="368"/>
      <c r="C141" s="368"/>
      <c r="D141" s="368"/>
      <c r="E141" s="368"/>
      <c r="F141" s="368"/>
      <c r="G141" s="368"/>
      <c r="H141" s="368"/>
      <c r="I141" s="368"/>
      <c r="J141" s="368"/>
      <c r="K141" s="368"/>
      <c r="L141" s="368"/>
      <c r="M141" s="22">
        <f t="shared" si="46"/>
        <v>0</v>
      </c>
      <c r="N141" s="24">
        <f>'D3-Capex'!I107</f>
        <v>0</v>
      </c>
      <c r="O141" s="23">
        <f>'D3-Capex'!J107</f>
        <v>0</v>
      </c>
      <c r="P141" s="83">
        <f>'D3-Capex'!K107</f>
        <v>0</v>
      </c>
    </row>
    <row r="142" spans="1:16" x14ac:dyDescent="0.25">
      <c r="A142" s="20" t="s">
        <v>936</v>
      </c>
      <c r="B142" s="368"/>
      <c r="C142" s="368"/>
      <c r="D142" s="368"/>
      <c r="E142" s="368"/>
      <c r="F142" s="368"/>
      <c r="G142" s="368"/>
      <c r="H142" s="368"/>
      <c r="I142" s="368"/>
      <c r="J142" s="368"/>
      <c r="K142" s="368"/>
      <c r="L142" s="368"/>
      <c r="M142" s="22">
        <f t="shared" si="46"/>
        <v>0</v>
      </c>
      <c r="N142" s="24">
        <f>'D3-Capex'!I108</f>
        <v>0</v>
      </c>
      <c r="O142" s="23">
        <f>'D3-Capex'!J108</f>
        <v>0</v>
      </c>
      <c r="P142" s="83">
        <f>'D3-Capex'!K108</f>
        <v>0</v>
      </c>
    </row>
    <row r="143" spans="1:16" x14ac:dyDescent="0.25">
      <c r="A143" s="21"/>
      <c r="B143" s="23"/>
      <c r="C143" s="23"/>
      <c r="D143" s="23"/>
      <c r="E143" s="23"/>
      <c r="F143" s="23"/>
      <c r="G143" s="23"/>
      <c r="H143" s="23"/>
      <c r="I143" s="23"/>
      <c r="J143" s="23"/>
      <c r="K143" s="23"/>
      <c r="L143" s="23"/>
      <c r="M143" s="22"/>
      <c r="N143" s="24"/>
      <c r="O143" s="23"/>
      <c r="P143" s="83"/>
    </row>
    <row r="144" spans="1:16" x14ac:dyDescent="0.25">
      <c r="A144" s="19" t="s">
        <v>188</v>
      </c>
      <c r="B144" s="26">
        <f>+B145+B148</f>
        <v>0</v>
      </c>
      <c r="C144" s="26">
        <f t="shared" ref="C144" si="67">+C145+C148</f>
        <v>0</v>
      </c>
      <c r="D144" s="26">
        <f>+D145+D148</f>
        <v>0</v>
      </c>
      <c r="E144" s="26">
        <f t="shared" ref="E144" si="68">+E145+E148</f>
        <v>0</v>
      </c>
      <c r="F144" s="26">
        <f>+F145+F148</f>
        <v>0</v>
      </c>
      <c r="G144" s="26">
        <f t="shared" ref="G144" si="69">+G145+G148</f>
        <v>0</v>
      </c>
      <c r="H144" s="26">
        <f>+H145+H148</f>
        <v>0</v>
      </c>
      <c r="I144" s="26">
        <f t="shared" ref="I144" si="70">+I145+I148</f>
        <v>0</v>
      </c>
      <c r="J144" s="26">
        <f>+J145+J148</f>
        <v>0</v>
      </c>
      <c r="K144" s="26">
        <f t="shared" ref="K144:L144" si="71">+K145+K148</f>
        <v>0</v>
      </c>
      <c r="L144" s="26">
        <f t="shared" si="71"/>
        <v>0</v>
      </c>
      <c r="M144" s="22">
        <f t="shared" si="46"/>
        <v>0</v>
      </c>
      <c r="N144" s="24">
        <f>'D3-Capex'!I110</f>
        <v>0</v>
      </c>
      <c r="O144" s="23">
        <f>'D3-Capex'!J110</f>
        <v>0</v>
      </c>
      <c r="P144" s="83">
        <f>'D3-Capex'!K110</f>
        <v>0</v>
      </c>
    </row>
    <row r="145" spans="1:16" x14ac:dyDescent="0.25">
      <c r="A145" s="20" t="s">
        <v>937</v>
      </c>
      <c r="B145" s="48">
        <f t="shared" ref="B145:K145" si="72">SUM(B146:B147)</f>
        <v>0</v>
      </c>
      <c r="C145" s="48">
        <f t="shared" si="72"/>
        <v>0</v>
      </c>
      <c r="D145" s="48">
        <f t="shared" si="72"/>
        <v>0</v>
      </c>
      <c r="E145" s="48">
        <f t="shared" si="72"/>
        <v>0</v>
      </c>
      <c r="F145" s="48">
        <f t="shared" si="72"/>
        <v>0</v>
      </c>
      <c r="G145" s="48">
        <f t="shared" si="72"/>
        <v>0</v>
      </c>
      <c r="H145" s="48">
        <f t="shared" si="72"/>
        <v>0</v>
      </c>
      <c r="I145" s="48">
        <f t="shared" si="72"/>
        <v>0</v>
      </c>
      <c r="J145" s="48">
        <f t="shared" si="72"/>
        <v>0</v>
      </c>
      <c r="K145" s="48">
        <f t="shared" si="72"/>
        <v>0</v>
      </c>
      <c r="L145" s="48">
        <f t="shared" ref="L145" si="73">SUM(L146:L147)</f>
        <v>0</v>
      </c>
      <c r="M145" s="22">
        <f t="shared" si="46"/>
        <v>0</v>
      </c>
      <c r="N145" s="24">
        <f>'D3-Capex'!I111</f>
        <v>0</v>
      </c>
      <c r="O145" s="23">
        <f>'D3-Capex'!J111</f>
        <v>0</v>
      </c>
      <c r="P145" s="83">
        <f>'D3-Capex'!K111</f>
        <v>0</v>
      </c>
    </row>
    <row r="146" spans="1:16" x14ac:dyDescent="0.25">
      <c r="A146" s="238" t="s">
        <v>938</v>
      </c>
      <c r="B146" s="354"/>
      <c r="C146" s="354"/>
      <c r="D146" s="354"/>
      <c r="E146" s="354"/>
      <c r="F146" s="354"/>
      <c r="G146" s="354"/>
      <c r="H146" s="354"/>
      <c r="I146" s="354"/>
      <c r="J146" s="354"/>
      <c r="K146" s="354"/>
      <c r="L146" s="354"/>
      <c r="M146" s="22">
        <f t="shared" si="46"/>
        <v>0</v>
      </c>
      <c r="N146" s="24">
        <f>'D3-Capex'!I112</f>
        <v>0</v>
      </c>
      <c r="O146" s="23">
        <f>'D3-Capex'!J112</f>
        <v>0</v>
      </c>
      <c r="P146" s="83">
        <f>'D3-Capex'!K112</f>
        <v>0</v>
      </c>
    </row>
    <row r="147" spans="1:16" x14ac:dyDescent="0.25">
      <c r="A147" s="238" t="s">
        <v>939</v>
      </c>
      <c r="B147" s="354"/>
      <c r="C147" s="354"/>
      <c r="D147" s="354"/>
      <c r="E147" s="354"/>
      <c r="F147" s="354"/>
      <c r="G147" s="354"/>
      <c r="H147" s="354"/>
      <c r="I147" s="354"/>
      <c r="J147" s="354"/>
      <c r="K147" s="354"/>
      <c r="L147" s="354"/>
      <c r="M147" s="22">
        <f t="shared" si="46"/>
        <v>0</v>
      </c>
      <c r="N147" s="24">
        <f>'D3-Capex'!I113</f>
        <v>0</v>
      </c>
      <c r="O147" s="23">
        <f>'D3-Capex'!J113</f>
        <v>0</v>
      </c>
      <c r="P147" s="83">
        <f>'D3-Capex'!K113</f>
        <v>0</v>
      </c>
    </row>
    <row r="148" spans="1:16" x14ac:dyDescent="0.25">
      <c r="A148" s="20" t="s">
        <v>940</v>
      </c>
      <c r="B148" s="23">
        <f>SUM(B149:B150)</f>
        <v>0</v>
      </c>
      <c r="C148" s="23">
        <f t="shared" ref="C148" si="74">SUM(C149:C150)</f>
        <v>0</v>
      </c>
      <c r="D148" s="23">
        <f>SUM(D149:D150)</f>
        <v>0</v>
      </c>
      <c r="E148" s="23">
        <f t="shared" ref="E148" si="75">SUM(E149:E150)</f>
        <v>0</v>
      </c>
      <c r="F148" s="23">
        <f>SUM(F149:F150)</f>
        <v>0</v>
      </c>
      <c r="G148" s="23">
        <f t="shared" ref="G148" si="76">SUM(G149:G150)</f>
        <v>0</v>
      </c>
      <c r="H148" s="23">
        <f>SUM(H149:H150)</f>
        <v>0</v>
      </c>
      <c r="I148" s="23">
        <f t="shared" ref="I148" si="77">SUM(I149:I150)</f>
        <v>0</v>
      </c>
      <c r="J148" s="23">
        <f>SUM(J149:J150)</f>
        <v>0</v>
      </c>
      <c r="K148" s="23">
        <f t="shared" ref="K148:L148" si="78">SUM(K149:K150)</f>
        <v>0</v>
      </c>
      <c r="L148" s="23">
        <f t="shared" si="78"/>
        <v>0</v>
      </c>
      <c r="M148" s="22">
        <f t="shared" si="46"/>
        <v>0</v>
      </c>
      <c r="N148" s="24">
        <f>'D3-Capex'!I114</f>
        <v>0</v>
      </c>
      <c r="O148" s="23">
        <f>'D3-Capex'!J114</f>
        <v>0</v>
      </c>
      <c r="P148" s="83">
        <f>'D3-Capex'!K114</f>
        <v>0</v>
      </c>
    </row>
    <row r="149" spans="1:16" x14ac:dyDescent="0.25">
      <c r="A149" s="238" t="s">
        <v>938</v>
      </c>
      <c r="B149" s="354"/>
      <c r="C149" s="354"/>
      <c r="D149" s="354"/>
      <c r="E149" s="354"/>
      <c r="F149" s="354"/>
      <c r="G149" s="354"/>
      <c r="H149" s="354"/>
      <c r="I149" s="354"/>
      <c r="J149" s="354"/>
      <c r="K149" s="354"/>
      <c r="L149" s="354"/>
      <c r="M149" s="22">
        <f t="shared" si="46"/>
        <v>0</v>
      </c>
      <c r="N149" s="24">
        <f>'D3-Capex'!I115</f>
        <v>0</v>
      </c>
      <c r="O149" s="23">
        <f>'D3-Capex'!J115</f>
        <v>0</v>
      </c>
      <c r="P149" s="83">
        <f>'D3-Capex'!K115</f>
        <v>0</v>
      </c>
    </row>
    <row r="150" spans="1:16" x14ac:dyDescent="0.25">
      <c r="A150" s="238" t="s">
        <v>939</v>
      </c>
      <c r="B150" s="354"/>
      <c r="C150" s="354"/>
      <c r="D150" s="354"/>
      <c r="E150" s="354"/>
      <c r="F150" s="354"/>
      <c r="G150" s="354"/>
      <c r="H150" s="354"/>
      <c r="I150" s="354"/>
      <c r="J150" s="354"/>
      <c r="K150" s="354"/>
      <c r="L150" s="354"/>
      <c r="M150" s="22">
        <f t="shared" si="46"/>
        <v>0</v>
      </c>
      <c r="N150" s="24">
        <f>'D3-Capex'!I116</f>
        <v>0</v>
      </c>
      <c r="O150" s="23">
        <f>'D3-Capex'!J116</f>
        <v>0</v>
      </c>
      <c r="P150" s="83">
        <f>'D3-Capex'!K116</f>
        <v>0</v>
      </c>
    </row>
    <row r="151" spans="1:16" x14ac:dyDescent="0.25">
      <c r="A151" s="21"/>
      <c r="B151" s="23"/>
      <c r="C151" s="23"/>
      <c r="D151" s="23"/>
      <c r="E151" s="23"/>
      <c r="F151" s="23"/>
      <c r="G151" s="23"/>
      <c r="H151" s="23"/>
      <c r="I151" s="23"/>
      <c r="J151" s="23"/>
      <c r="K151" s="23"/>
      <c r="L151" s="23"/>
      <c r="M151" s="22"/>
      <c r="N151" s="24"/>
      <c r="O151" s="23"/>
      <c r="P151" s="83"/>
    </row>
    <row r="152" spans="1:16" x14ac:dyDescent="0.25">
      <c r="A152" s="19" t="s">
        <v>189</v>
      </c>
      <c r="B152" s="26">
        <f>+B153+B165</f>
        <v>2083.33</v>
      </c>
      <c r="C152" s="26">
        <f t="shared" ref="C152" si="79">+C153+C165</f>
        <v>2083.33</v>
      </c>
      <c r="D152" s="26">
        <f>+D153+D165</f>
        <v>2083.33</v>
      </c>
      <c r="E152" s="26">
        <f t="shared" ref="E152" si="80">+E153+E165</f>
        <v>2083.33</v>
      </c>
      <c r="F152" s="26">
        <f>+F153+F165</f>
        <v>2083.33</v>
      </c>
      <c r="G152" s="26">
        <f t="shared" ref="G152" si="81">+G153+G165</f>
        <v>2083.33</v>
      </c>
      <c r="H152" s="26">
        <f>+H153+H165</f>
        <v>2083.33</v>
      </c>
      <c r="I152" s="26">
        <f t="shared" ref="I152" si="82">+I153+I165</f>
        <v>2083.33</v>
      </c>
      <c r="J152" s="26">
        <f>+J153+J165</f>
        <v>2083.33</v>
      </c>
      <c r="K152" s="26">
        <f t="shared" ref="K152:L152" si="83">+K153+K165</f>
        <v>2083.33</v>
      </c>
      <c r="L152" s="26">
        <f t="shared" si="83"/>
        <v>2083.33</v>
      </c>
      <c r="M152" s="22">
        <f t="shared" si="46"/>
        <v>-22916.630000000005</v>
      </c>
      <c r="N152" s="24">
        <f>'D3-Capex'!I118</f>
        <v>0</v>
      </c>
      <c r="O152" s="23">
        <f>'D3-Capex'!J118</f>
        <v>0</v>
      </c>
      <c r="P152" s="83">
        <f>'D3-Capex'!K118</f>
        <v>0</v>
      </c>
    </row>
    <row r="153" spans="1:16" x14ac:dyDescent="0.25">
      <c r="A153" s="20" t="s">
        <v>941</v>
      </c>
      <c r="B153" s="48">
        <f>SUM(B154:B164)</f>
        <v>2083.33</v>
      </c>
      <c r="C153" s="48">
        <f t="shared" ref="C153" si="84">SUM(C154:C164)</f>
        <v>2083.33</v>
      </c>
      <c r="D153" s="48">
        <f>SUM(D154:D164)</f>
        <v>2083.33</v>
      </c>
      <c r="E153" s="48">
        <f t="shared" ref="E153" si="85">SUM(E154:E164)</f>
        <v>2083.33</v>
      </c>
      <c r="F153" s="48">
        <f>SUM(F154:F164)</f>
        <v>2083.33</v>
      </c>
      <c r="G153" s="48">
        <f t="shared" ref="G153" si="86">SUM(G154:G164)</f>
        <v>2083.33</v>
      </c>
      <c r="H153" s="48">
        <f>SUM(H154:H164)</f>
        <v>2083.33</v>
      </c>
      <c r="I153" s="48">
        <f t="shared" ref="I153" si="87">SUM(I154:I164)</f>
        <v>2083.33</v>
      </c>
      <c r="J153" s="48">
        <f>SUM(J154:J164)</f>
        <v>2083.33</v>
      </c>
      <c r="K153" s="48">
        <f t="shared" ref="K153:L153" si="88">SUM(K154:K164)</f>
        <v>2083.33</v>
      </c>
      <c r="L153" s="48">
        <f t="shared" si="88"/>
        <v>2083.33</v>
      </c>
      <c r="M153" s="22">
        <f t="shared" si="46"/>
        <v>-22916.630000000005</v>
      </c>
      <c r="N153" s="24">
        <f>'D3-Capex'!I119</f>
        <v>0</v>
      </c>
      <c r="O153" s="23">
        <f>'D3-Capex'!J119</f>
        <v>0</v>
      </c>
      <c r="P153" s="83">
        <f>'D3-Capex'!K119</f>
        <v>0</v>
      </c>
    </row>
    <row r="154" spans="1:16" x14ac:dyDescent="0.25">
      <c r="A154" s="238" t="s">
        <v>942</v>
      </c>
      <c r="B154" s="354">
        <v>2083.33</v>
      </c>
      <c r="C154" s="354">
        <v>2083.33</v>
      </c>
      <c r="D154" s="354">
        <v>2083.33</v>
      </c>
      <c r="E154" s="354">
        <v>2083.33</v>
      </c>
      <c r="F154" s="354">
        <v>2083.33</v>
      </c>
      <c r="G154" s="354">
        <v>2083.33</v>
      </c>
      <c r="H154" s="354">
        <v>2083.33</v>
      </c>
      <c r="I154" s="354">
        <v>2083.33</v>
      </c>
      <c r="J154" s="354">
        <v>2083.33</v>
      </c>
      <c r="K154" s="354">
        <v>2083.33</v>
      </c>
      <c r="L154" s="354">
        <v>2083.33</v>
      </c>
      <c r="M154" s="22">
        <f t="shared" si="46"/>
        <v>-22916.630000000005</v>
      </c>
      <c r="N154" s="24">
        <f>'D3-Capex'!I120</f>
        <v>0</v>
      </c>
      <c r="O154" s="23">
        <f>'D3-Capex'!J120</f>
        <v>0</v>
      </c>
      <c r="P154" s="83">
        <f>'D3-Capex'!K120</f>
        <v>0</v>
      </c>
    </row>
    <row r="155" spans="1:16" x14ac:dyDescent="0.25">
      <c r="A155" s="238" t="s">
        <v>943</v>
      </c>
      <c r="B155" s="354"/>
      <c r="C155" s="354"/>
      <c r="D155" s="354"/>
      <c r="E155" s="354"/>
      <c r="F155" s="354"/>
      <c r="G155" s="354"/>
      <c r="H155" s="354"/>
      <c r="I155" s="354"/>
      <c r="J155" s="354"/>
      <c r="K155" s="354"/>
      <c r="L155" s="354"/>
      <c r="M155" s="22">
        <f t="shared" si="46"/>
        <v>0</v>
      </c>
      <c r="N155" s="24">
        <f>'D3-Capex'!I121</f>
        <v>0</v>
      </c>
      <c r="O155" s="23">
        <f>'D3-Capex'!J121</f>
        <v>0</v>
      </c>
      <c r="P155" s="83">
        <f>'D3-Capex'!K121</f>
        <v>0</v>
      </c>
    </row>
    <row r="156" spans="1:16" x14ac:dyDescent="0.25">
      <c r="A156" s="238" t="s">
        <v>944</v>
      </c>
      <c r="B156" s="354"/>
      <c r="C156" s="354"/>
      <c r="D156" s="354"/>
      <c r="E156" s="354"/>
      <c r="F156" s="354"/>
      <c r="G156" s="354"/>
      <c r="H156" s="354"/>
      <c r="I156" s="354"/>
      <c r="J156" s="354"/>
      <c r="K156" s="354"/>
      <c r="L156" s="354"/>
      <c r="M156" s="22">
        <f t="shared" si="46"/>
        <v>0</v>
      </c>
      <c r="N156" s="24">
        <f>'D3-Capex'!I122</f>
        <v>0</v>
      </c>
      <c r="O156" s="23">
        <f>'D3-Capex'!J122</f>
        <v>0</v>
      </c>
      <c r="P156" s="83">
        <f>'D3-Capex'!K122</f>
        <v>0</v>
      </c>
    </row>
    <row r="157" spans="1:16" x14ac:dyDescent="0.25">
      <c r="A157" s="238" t="s">
        <v>945</v>
      </c>
      <c r="B157" s="354"/>
      <c r="C157" s="354"/>
      <c r="D157" s="354"/>
      <c r="E157" s="354"/>
      <c r="F157" s="354"/>
      <c r="G157" s="354"/>
      <c r="H157" s="354"/>
      <c r="I157" s="354"/>
      <c r="J157" s="354"/>
      <c r="K157" s="354"/>
      <c r="L157" s="354"/>
      <c r="M157" s="22">
        <f t="shared" si="46"/>
        <v>0</v>
      </c>
      <c r="N157" s="24">
        <f>'D3-Capex'!I123</f>
        <v>0</v>
      </c>
      <c r="O157" s="23">
        <f>'D3-Capex'!J123</f>
        <v>0</v>
      </c>
      <c r="P157" s="83">
        <f>'D3-Capex'!K123</f>
        <v>0</v>
      </c>
    </row>
    <row r="158" spans="1:16" x14ac:dyDescent="0.25">
      <c r="A158" s="238" t="s">
        <v>946</v>
      </c>
      <c r="B158" s="354"/>
      <c r="C158" s="354"/>
      <c r="D158" s="354"/>
      <c r="E158" s="354"/>
      <c r="F158" s="354"/>
      <c r="G158" s="354"/>
      <c r="H158" s="354"/>
      <c r="I158" s="354"/>
      <c r="J158" s="354"/>
      <c r="K158" s="354"/>
      <c r="L158" s="354"/>
      <c r="M158" s="22">
        <f t="shared" si="46"/>
        <v>0</v>
      </c>
      <c r="N158" s="24">
        <f>'D3-Capex'!I124</f>
        <v>0</v>
      </c>
      <c r="O158" s="23">
        <f>'D3-Capex'!J124</f>
        <v>0</v>
      </c>
      <c r="P158" s="83">
        <f>'D3-Capex'!K124</f>
        <v>0</v>
      </c>
    </row>
    <row r="159" spans="1:16" x14ac:dyDescent="0.25">
      <c r="A159" s="238" t="s">
        <v>947</v>
      </c>
      <c r="B159" s="354"/>
      <c r="C159" s="354"/>
      <c r="D159" s="354"/>
      <c r="E159" s="354"/>
      <c r="F159" s="354"/>
      <c r="G159" s="354"/>
      <c r="H159" s="354"/>
      <c r="I159" s="354"/>
      <c r="J159" s="354"/>
      <c r="K159" s="354"/>
      <c r="L159" s="354"/>
      <c r="M159" s="22">
        <f t="shared" si="46"/>
        <v>0</v>
      </c>
      <c r="N159" s="24">
        <f>'D3-Capex'!I125</f>
        <v>0</v>
      </c>
      <c r="O159" s="23">
        <f>'D3-Capex'!J125</f>
        <v>0</v>
      </c>
      <c r="P159" s="83">
        <f>'D3-Capex'!K125</f>
        <v>0</v>
      </c>
    </row>
    <row r="160" spans="1:16" x14ac:dyDescent="0.25">
      <c r="A160" s="238" t="s">
        <v>948</v>
      </c>
      <c r="B160" s="354"/>
      <c r="C160" s="354"/>
      <c r="D160" s="354"/>
      <c r="E160" s="354"/>
      <c r="F160" s="354"/>
      <c r="G160" s="354"/>
      <c r="H160" s="354"/>
      <c r="I160" s="354"/>
      <c r="J160" s="354"/>
      <c r="K160" s="354"/>
      <c r="L160" s="354"/>
      <c r="M160" s="22">
        <f t="shared" si="46"/>
        <v>0</v>
      </c>
      <c r="N160" s="24">
        <f>'D3-Capex'!I126</f>
        <v>0</v>
      </c>
      <c r="O160" s="23">
        <f>'D3-Capex'!J126</f>
        <v>0</v>
      </c>
      <c r="P160" s="83">
        <f>'D3-Capex'!K126</f>
        <v>0</v>
      </c>
    </row>
    <row r="161" spans="1:16" x14ac:dyDescent="0.25">
      <c r="A161" s="238" t="s">
        <v>949</v>
      </c>
      <c r="B161" s="354"/>
      <c r="C161" s="354"/>
      <c r="D161" s="354"/>
      <c r="E161" s="354"/>
      <c r="F161" s="354"/>
      <c r="G161" s="354"/>
      <c r="H161" s="354"/>
      <c r="I161" s="354"/>
      <c r="J161" s="354"/>
      <c r="K161" s="354"/>
      <c r="L161" s="354"/>
      <c r="M161" s="22">
        <f t="shared" si="46"/>
        <v>0</v>
      </c>
      <c r="N161" s="24">
        <f>'D3-Capex'!I127</f>
        <v>0</v>
      </c>
      <c r="O161" s="23">
        <f>'D3-Capex'!J127</f>
        <v>0</v>
      </c>
      <c r="P161" s="83">
        <f>'D3-Capex'!K127</f>
        <v>0</v>
      </c>
    </row>
    <row r="162" spans="1:16" x14ac:dyDescent="0.25">
      <c r="A162" s="238" t="s">
        <v>950</v>
      </c>
      <c r="B162" s="354"/>
      <c r="C162" s="354"/>
      <c r="D162" s="354"/>
      <c r="E162" s="354"/>
      <c r="F162" s="354"/>
      <c r="G162" s="354"/>
      <c r="H162" s="354"/>
      <c r="I162" s="354"/>
      <c r="J162" s="354"/>
      <c r="K162" s="354"/>
      <c r="L162" s="354"/>
      <c r="M162" s="22">
        <f t="shared" si="46"/>
        <v>0</v>
      </c>
      <c r="N162" s="24">
        <f>'D3-Capex'!I128</f>
        <v>0</v>
      </c>
      <c r="O162" s="23">
        <f>'D3-Capex'!J128</f>
        <v>0</v>
      </c>
      <c r="P162" s="83">
        <f>'D3-Capex'!K128</f>
        <v>0</v>
      </c>
    </row>
    <row r="163" spans="1:16" x14ac:dyDescent="0.25">
      <c r="A163" s="238" t="s">
        <v>951</v>
      </c>
      <c r="B163" s="354"/>
      <c r="C163" s="354"/>
      <c r="D163" s="354"/>
      <c r="E163" s="354"/>
      <c r="F163" s="354"/>
      <c r="G163" s="354"/>
      <c r="H163" s="354"/>
      <c r="I163" s="354"/>
      <c r="J163" s="354"/>
      <c r="K163" s="354"/>
      <c r="L163" s="354"/>
      <c r="M163" s="22">
        <f t="shared" si="46"/>
        <v>0</v>
      </c>
      <c r="N163" s="24">
        <f>'D3-Capex'!I129</f>
        <v>0</v>
      </c>
      <c r="O163" s="23">
        <f>'D3-Capex'!J129</f>
        <v>0</v>
      </c>
      <c r="P163" s="83">
        <f>'D3-Capex'!K129</f>
        <v>0</v>
      </c>
    </row>
    <row r="164" spans="1:16" x14ac:dyDescent="0.25">
      <c r="A164" s="238" t="s">
        <v>861</v>
      </c>
      <c r="B164" s="354"/>
      <c r="C164" s="354"/>
      <c r="D164" s="354"/>
      <c r="E164" s="354"/>
      <c r="F164" s="354"/>
      <c r="G164" s="354"/>
      <c r="H164" s="354"/>
      <c r="I164" s="354"/>
      <c r="J164" s="354"/>
      <c r="K164" s="354"/>
      <c r="L164" s="354"/>
      <c r="M164" s="22">
        <f t="shared" si="46"/>
        <v>0</v>
      </c>
      <c r="N164" s="24">
        <f>'D3-Capex'!I130</f>
        <v>0</v>
      </c>
      <c r="O164" s="23">
        <f>'D3-Capex'!J130</f>
        <v>0</v>
      </c>
      <c r="P164" s="83">
        <f>'D3-Capex'!K130</f>
        <v>0</v>
      </c>
    </row>
    <row r="165" spans="1:16" x14ac:dyDescent="0.25">
      <c r="A165" s="20" t="s">
        <v>952</v>
      </c>
      <c r="B165" s="23">
        <f>SUM(B166:B168)</f>
        <v>0</v>
      </c>
      <c r="C165" s="23">
        <f t="shared" ref="C165" si="89">SUM(C166:C168)</f>
        <v>0</v>
      </c>
      <c r="D165" s="23">
        <f>SUM(D166:D168)</f>
        <v>0</v>
      </c>
      <c r="E165" s="23">
        <f t="shared" ref="E165" si="90">SUM(E166:E168)</f>
        <v>0</v>
      </c>
      <c r="F165" s="23">
        <f>SUM(F166:F168)</f>
        <v>0</v>
      </c>
      <c r="G165" s="23">
        <f t="shared" ref="G165" si="91">SUM(G166:G168)</f>
        <v>0</v>
      </c>
      <c r="H165" s="23">
        <f>SUM(H166:H168)</f>
        <v>0</v>
      </c>
      <c r="I165" s="23">
        <f t="shared" ref="I165" si="92">SUM(I166:I168)</f>
        <v>0</v>
      </c>
      <c r="J165" s="23">
        <f>SUM(J166:J168)</f>
        <v>0</v>
      </c>
      <c r="K165" s="23">
        <f t="shared" ref="K165:L165" si="93">SUM(K166:K168)</f>
        <v>0</v>
      </c>
      <c r="L165" s="23">
        <f t="shared" si="93"/>
        <v>0</v>
      </c>
      <c r="M165" s="22">
        <f t="shared" si="46"/>
        <v>0</v>
      </c>
      <c r="N165" s="24">
        <f>'D3-Capex'!I131</f>
        <v>0</v>
      </c>
      <c r="O165" s="23">
        <f>'D3-Capex'!J131</f>
        <v>0</v>
      </c>
      <c r="P165" s="83">
        <f>'D3-Capex'!K131</f>
        <v>0</v>
      </c>
    </row>
    <row r="166" spans="1:16" x14ac:dyDescent="0.25">
      <c r="A166" s="238" t="s">
        <v>953</v>
      </c>
      <c r="B166" s="354"/>
      <c r="C166" s="354"/>
      <c r="D166" s="354"/>
      <c r="E166" s="354"/>
      <c r="F166" s="354"/>
      <c r="G166" s="354"/>
      <c r="H166" s="354"/>
      <c r="I166" s="354"/>
      <c r="J166" s="354"/>
      <c r="K166" s="354"/>
      <c r="L166" s="354"/>
      <c r="M166" s="22">
        <f t="shared" si="46"/>
        <v>0</v>
      </c>
      <c r="N166" s="24">
        <f>'D3-Capex'!I132</f>
        <v>0</v>
      </c>
      <c r="O166" s="23">
        <f>'D3-Capex'!J132</f>
        <v>0</v>
      </c>
      <c r="P166" s="83">
        <f>'D3-Capex'!K132</f>
        <v>0</v>
      </c>
    </row>
    <row r="167" spans="1:16" x14ac:dyDescent="0.25">
      <c r="A167" s="238" t="s">
        <v>954</v>
      </c>
      <c r="B167" s="354"/>
      <c r="C167" s="354"/>
      <c r="D167" s="354"/>
      <c r="E167" s="354"/>
      <c r="F167" s="354"/>
      <c r="G167" s="354"/>
      <c r="H167" s="354"/>
      <c r="I167" s="354"/>
      <c r="J167" s="354"/>
      <c r="K167" s="354"/>
      <c r="L167" s="354"/>
      <c r="M167" s="22">
        <f t="shared" si="46"/>
        <v>0</v>
      </c>
      <c r="N167" s="24">
        <f>'D3-Capex'!I133</f>
        <v>0</v>
      </c>
      <c r="O167" s="23">
        <f>'D3-Capex'!J133</f>
        <v>0</v>
      </c>
      <c r="P167" s="83">
        <f>'D3-Capex'!K133</f>
        <v>0</v>
      </c>
    </row>
    <row r="168" spans="1:16" x14ac:dyDescent="0.25">
      <c r="A168" s="238" t="s">
        <v>861</v>
      </c>
      <c r="B168" s="354"/>
      <c r="C168" s="354"/>
      <c r="D168" s="354"/>
      <c r="E168" s="354"/>
      <c r="F168" s="354"/>
      <c r="G168" s="354"/>
      <c r="H168" s="354"/>
      <c r="I168" s="354"/>
      <c r="J168" s="354"/>
      <c r="K168" s="354"/>
      <c r="L168" s="354"/>
      <c r="M168" s="22">
        <f t="shared" si="46"/>
        <v>0</v>
      </c>
      <c r="N168" s="24">
        <f>'D3-Capex'!I134</f>
        <v>0</v>
      </c>
      <c r="O168" s="23">
        <f>'D3-Capex'!J134</f>
        <v>0</v>
      </c>
      <c r="P168" s="83">
        <f>'D3-Capex'!K134</f>
        <v>0</v>
      </c>
    </row>
    <row r="169" spans="1:16" x14ac:dyDescent="0.25">
      <c r="A169" s="242"/>
      <c r="B169" s="23"/>
      <c r="C169" s="23"/>
      <c r="D169" s="23"/>
      <c r="E169" s="23"/>
      <c r="F169" s="23"/>
      <c r="G169" s="23"/>
      <c r="H169" s="23"/>
      <c r="I169" s="23"/>
      <c r="J169" s="23"/>
      <c r="K169" s="23"/>
      <c r="L169" s="23"/>
      <c r="M169" s="22"/>
      <c r="N169" s="24"/>
      <c r="O169" s="23"/>
      <c r="P169" s="83"/>
    </row>
    <row r="170" spans="1:16" x14ac:dyDescent="0.25">
      <c r="A170" s="19" t="s">
        <v>955</v>
      </c>
      <c r="B170" s="23">
        <f t="shared" ref="B170:L170" si="94">SUM(B171:B171)</f>
        <v>0</v>
      </c>
      <c r="C170" s="23">
        <f t="shared" si="94"/>
        <v>0</v>
      </c>
      <c r="D170" s="23">
        <f t="shared" si="94"/>
        <v>0</v>
      </c>
      <c r="E170" s="23">
        <f t="shared" si="94"/>
        <v>0</v>
      </c>
      <c r="F170" s="23">
        <f t="shared" si="94"/>
        <v>0</v>
      </c>
      <c r="G170" s="23">
        <f t="shared" si="94"/>
        <v>0</v>
      </c>
      <c r="H170" s="23">
        <f t="shared" si="94"/>
        <v>0</v>
      </c>
      <c r="I170" s="23">
        <f t="shared" si="94"/>
        <v>0</v>
      </c>
      <c r="J170" s="23">
        <f t="shared" si="94"/>
        <v>0</v>
      </c>
      <c r="K170" s="23">
        <f t="shared" si="94"/>
        <v>0</v>
      </c>
      <c r="L170" s="23">
        <f t="shared" si="94"/>
        <v>0</v>
      </c>
      <c r="M170" s="22">
        <f t="shared" ref="M170:M201" si="95">N170-SUM(B170:L170)</f>
        <v>0</v>
      </c>
      <c r="N170" s="24">
        <f>'D3-Capex'!I136</f>
        <v>0</v>
      </c>
      <c r="O170" s="23">
        <f>'D3-Capex'!J136</f>
        <v>0</v>
      </c>
      <c r="P170" s="83">
        <f>'D3-Capex'!K136</f>
        <v>0</v>
      </c>
    </row>
    <row r="171" spans="1:16" x14ac:dyDescent="0.25">
      <c r="A171" s="20" t="s">
        <v>955</v>
      </c>
      <c r="B171" s="372"/>
      <c r="C171" s="372"/>
      <c r="D171" s="372"/>
      <c r="E171" s="372"/>
      <c r="F171" s="372"/>
      <c r="G171" s="372"/>
      <c r="H171" s="372"/>
      <c r="I171" s="372"/>
      <c r="J171" s="372"/>
      <c r="K171" s="372"/>
      <c r="L171" s="372"/>
      <c r="M171" s="22">
        <f t="shared" si="95"/>
        <v>0</v>
      </c>
      <c r="N171" s="24">
        <f>'D3-Capex'!I137</f>
        <v>0</v>
      </c>
      <c r="O171" s="23">
        <f>'D3-Capex'!J137</f>
        <v>0</v>
      </c>
      <c r="P171" s="83">
        <f>'D3-Capex'!K137</f>
        <v>0</v>
      </c>
    </row>
    <row r="172" spans="1:16" x14ac:dyDescent="0.25">
      <c r="A172" s="21"/>
      <c r="B172" s="23"/>
      <c r="C172" s="23"/>
      <c r="D172" s="23"/>
      <c r="E172" s="23"/>
      <c r="F172" s="23"/>
      <c r="G172" s="23"/>
      <c r="H172" s="23"/>
      <c r="I172" s="23"/>
      <c r="J172" s="23"/>
      <c r="K172" s="23"/>
      <c r="L172" s="23"/>
      <c r="M172" s="22"/>
      <c r="N172" s="24"/>
      <c r="O172" s="23"/>
      <c r="P172" s="83"/>
    </row>
    <row r="173" spans="1:16" x14ac:dyDescent="0.25">
      <c r="A173" s="19" t="s">
        <v>956</v>
      </c>
      <c r="B173" s="23">
        <f>+B174+B175</f>
        <v>8333.33</v>
      </c>
      <c r="C173" s="23">
        <f t="shared" ref="C173" si="96">+C174+C175</f>
        <v>8333.33</v>
      </c>
      <c r="D173" s="23">
        <f>+D174+D175</f>
        <v>8333.33</v>
      </c>
      <c r="E173" s="23">
        <f t="shared" ref="E173" si="97">+E174+E175</f>
        <v>8333.33</v>
      </c>
      <c r="F173" s="23">
        <f>+F174+F175</f>
        <v>8333.33</v>
      </c>
      <c r="G173" s="23">
        <f t="shared" ref="G173" si="98">+G174+G175</f>
        <v>8333.33</v>
      </c>
      <c r="H173" s="23">
        <f>+H174+H175</f>
        <v>8333.33</v>
      </c>
      <c r="I173" s="23">
        <f t="shared" ref="I173" si="99">+I174+I175</f>
        <v>8333.33</v>
      </c>
      <c r="J173" s="23">
        <f>+J174+J175</f>
        <v>8333.33</v>
      </c>
      <c r="K173" s="23">
        <f t="shared" ref="K173:L173" si="100">+K174+K175</f>
        <v>8333.33</v>
      </c>
      <c r="L173" s="23">
        <f t="shared" si="100"/>
        <v>8333.33</v>
      </c>
      <c r="M173" s="22">
        <f t="shared" si="95"/>
        <v>-91666.63</v>
      </c>
      <c r="N173" s="24">
        <f>'D3-Capex'!I139</f>
        <v>0</v>
      </c>
      <c r="O173" s="23">
        <f>'D3-Capex'!J139</f>
        <v>0</v>
      </c>
      <c r="P173" s="83">
        <f>'D3-Capex'!K139</f>
        <v>0</v>
      </c>
    </row>
    <row r="174" spans="1:16" x14ac:dyDescent="0.25">
      <c r="A174" s="20" t="s">
        <v>957</v>
      </c>
      <c r="B174" s="372"/>
      <c r="C174" s="372"/>
      <c r="D174" s="372"/>
      <c r="E174" s="372"/>
      <c r="F174" s="372"/>
      <c r="G174" s="372"/>
      <c r="H174" s="372"/>
      <c r="I174" s="372"/>
      <c r="J174" s="372"/>
      <c r="K174" s="372"/>
      <c r="L174" s="372"/>
      <c r="M174" s="22">
        <f t="shared" si="95"/>
        <v>0</v>
      </c>
      <c r="N174" s="24">
        <f>'D3-Capex'!I140</f>
        <v>0</v>
      </c>
      <c r="O174" s="23">
        <f>'D3-Capex'!J140</f>
        <v>0</v>
      </c>
      <c r="P174" s="83">
        <f>'D3-Capex'!K140</f>
        <v>0</v>
      </c>
    </row>
    <row r="175" spans="1:16" x14ac:dyDescent="0.25">
      <c r="A175" s="20" t="s">
        <v>958</v>
      </c>
      <c r="B175" s="23">
        <f>SUM(B176:B181)</f>
        <v>8333.33</v>
      </c>
      <c r="C175" s="23">
        <f t="shared" ref="C175" si="101">SUM(C176:C181)</f>
        <v>8333.33</v>
      </c>
      <c r="D175" s="23">
        <f>SUM(D176:D181)</f>
        <v>8333.33</v>
      </c>
      <c r="E175" s="23">
        <f t="shared" ref="E175" si="102">SUM(E176:E181)</f>
        <v>8333.33</v>
      </c>
      <c r="F175" s="23">
        <f>SUM(F176:F181)</f>
        <v>8333.33</v>
      </c>
      <c r="G175" s="23">
        <f t="shared" ref="G175" si="103">SUM(G176:G181)</f>
        <v>8333.33</v>
      </c>
      <c r="H175" s="23">
        <f>SUM(H176:H181)</f>
        <v>8333.33</v>
      </c>
      <c r="I175" s="23">
        <f t="shared" ref="I175" si="104">SUM(I176:I181)</f>
        <v>8333.33</v>
      </c>
      <c r="J175" s="23">
        <f>SUM(J176:J181)</f>
        <v>8333.33</v>
      </c>
      <c r="K175" s="23">
        <f t="shared" ref="K175:L175" si="105">SUM(K176:K181)</f>
        <v>8333.33</v>
      </c>
      <c r="L175" s="23">
        <f t="shared" si="105"/>
        <v>8333.33</v>
      </c>
      <c r="M175" s="22">
        <f t="shared" si="95"/>
        <v>-91666.63</v>
      </c>
      <c r="N175" s="24">
        <f>'D3-Capex'!I141</f>
        <v>0</v>
      </c>
      <c r="O175" s="23">
        <f>'D3-Capex'!J141</f>
        <v>0</v>
      </c>
      <c r="P175" s="83">
        <f>'D3-Capex'!K141</f>
        <v>0</v>
      </c>
    </row>
    <row r="176" spans="1:16" x14ac:dyDescent="0.25">
      <c r="A176" s="238" t="s">
        <v>959</v>
      </c>
      <c r="B176" s="354"/>
      <c r="C176" s="354"/>
      <c r="D176" s="354"/>
      <c r="E176" s="354"/>
      <c r="F176" s="354"/>
      <c r="G176" s="354"/>
      <c r="H176" s="354"/>
      <c r="I176" s="354"/>
      <c r="J176" s="354"/>
      <c r="K176" s="354"/>
      <c r="L176" s="354"/>
      <c r="M176" s="22">
        <f t="shared" si="95"/>
        <v>0</v>
      </c>
      <c r="N176" s="24">
        <f>'D3-Capex'!I142</f>
        <v>0</v>
      </c>
      <c r="O176" s="23">
        <f>'D3-Capex'!J142</f>
        <v>0</v>
      </c>
      <c r="P176" s="83">
        <f>'D3-Capex'!K142</f>
        <v>0</v>
      </c>
    </row>
    <row r="177" spans="1:16" x14ac:dyDescent="0.25">
      <c r="A177" s="238" t="s">
        <v>960</v>
      </c>
      <c r="B177" s="354"/>
      <c r="C177" s="354"/>
      <c r="D177" s="354"/>
      <c r="E177" s="354"/>
      <c r="F177" s="354"/>
      <c r="G177" s="354"/>
      <c r="H177" s="354"/>
      <c r="I177" s="354"/>
      <c r="J177" s="354"/>
      <c r="K177" s="354"/>
      <c r="L177" s="354"/>
      <c r="M177" s="22">
        <f t="shared" si="95"/>
        <v>0</v>
      </c>
      <c r="N177" s="24">
        <f>'D3-Capex'!I143</f>
        <v>0</v>
      </c>
      <c r="O177" s="23">
        <f>'D3-Capex'!J143</f>
        <v>0</v>
      </c>
      <c r="P177" s="83">
        <f>'D3-Capex'!K143</f>
        <v>0</v>
      </c>
    </row>
    <row r="178" spans="1:16" x14ac:dyDescent="0.25">
      <c r="A178" s="238" t="s">
        <v>961</v>
      </c>
      <c r="B178" s="354"/>
      <c r="C178" s="354"/>
      <c r="D178" s="354"/>
      <c r="E178" s="354"/>
      <c r="F178" s="354"/>
      <c r="G178" s="354"/>
      <c r="H178" s="354"/>
      <c r="I178" s="354"/>
      <c r="J178" s="354"/>
      <c r="K178" s="354"/>
      <c r="L178" s="354"/>
      <c r="M178" s="22">
        <f t="shared" si="95"/>
        <v>0</v>
      </c>
      <c r="N178" s="24">
        <f>'D3-Capex'!I144</f>
        <v>0</v>
      </c>
      <c r="O178" s="23">
        <f>'D3-Capex'!J144</f>
        <v>0</v>
      </c>
      <c r="P178" s="83">
        <f>'D3-Capex'!K144</f>
        <v>0</v>
      </c>
    </row>
    <row r="179" spans="1:16" x14ac:dyDescent="0.25">
      <c r="A179" s="238" t="s">
        <v>962</v>
      </c>
      <c r="B179" s="354">
        <v>8333.33</v>
      </c>
      <c r="C179" s="354">
        <v>8333.33</v>
      </c>
      <c r="D179" s="354">
        <v>8333.33</v>
      </c>
      <c r="E179" s="354">
        <v>8333.33</v>
      </c>
      <c r="F179" s="354">
        <v>8333.33</v>
      </c>
      <c r="G179" s="354">
        <v>8333.33</v>
      </c>
      <c r="H179" s="354">
        <v>8333.33</v>
      </c>
      <c r="I179" s="354">
        <v>8333.33</v>
      </c>
      <c r="J179" s="354">
        <v>8333.33</v>
      </c>
      <c r="K179" s="354">
        <v>8333.33</v>
      </c>
      <c r="L179" s="354">
        <v>8333.33</v>
      </c>
      <c r="M179" s="22">
        <f t="shared" si="95"/>
        <v>-91666.63</v>
      </c>
      <c r="N179" s="24">
        <f>'D3-Capex'!I145</f>
        <v>0</v>
      </c>
      <c r="O179" s="23">
        <f>'D3-Capex'!J145</f>
        <v>0</v>
      </c>
      <c r="P179" s="83">
        <f>'D3-Capex'!K145</f>
        <v>0</v>
      </c>
    </row>
    <row r="180" spans="1:16" x14ac:dyDescent="0.25">
      <c r="A180" s="238" t="s">
        <v>963</v>
      </c>
      <c r="B180" s="354"/>
      <c r="C180" s="354"/>
      <c r="D180" s="354"/>
      <c r="E180" s="354"/>
      <c r="F180" s="354"/>
      <c r="G180" s="354"/>
      <c r="H180" s="354"/>
      <c r="I180" s="354"/>
      <c r="J180" s="354"/>
      <c r="K180" s="354"/>
      <c r="L180" s="354"/>
      <c r="M180" s="22">
        <f t="shared" si="95"/>
        <v>0</v>
      </c>
      <c r="N180" s="24">
        <f>'D3-Capex'!I146</f>
        <v>0</v>
      </c>
      <c r="O180" s="23">
        <f>'D3-Capex'!J146</f>
        <v>0</v>
      </c>
      <c r="P180" s="83">
        <f>'D3-Capex'!K146</f>
        <v>0</v>
      </c>
    </row>
    <row r="181" spans="1:16" x14ac:dyDescent="0.25">
      <c r="A181" s="238" t="s">
        <v>964</v>
      </c>
      <c r="B181" s="354"/>
      <c r="C181" s="354"/>
      <c r="D181" s="354"/>
      <c r="E181" s="354"/>
      <c r="F181" s="354"/>
      <c r="G181" s="354"/>
      <c r="H181" s="354"/>
      <c r="I181" s="354"/>
      <c r="J181" s="354"/>
      <c r="K181" s="354"/>
      <c r="L181" s="354"/>
      <c r="M181" s="22">
        <f t="shared" si="95"/>
        <v>0</v>
      </c>
      <c r="N181" s="24">
        <f>'D3-Capex'!I147</f>
        <v>0</v>
      </c>
      <c r="O181" s="23">
        <f>'D3-Capex'!J147</f>
        <v>0</v>
      </c>
      <c r="P181" s="83">
        <f>'D3-Capex'!K147</f>
        <v>0</v>
      </c>
    </row>
    <row r="182" spans="1:16" x14ac:dyDescent="0.25">
      <c r="A182" s="21"/>
      <c r="B182" s="26"/>
      <c r="C182" s="26"/>
      <c r="D182" s="26"/>
      <c r="E182" s="26"/>
      <c r="F182" s="26"/>
      <c r="G182" s="26"/>
      <c r="H182" s="26"/>
      <c r="I182" s="26"/>
      <c r="J182" s="26"/>
      <c r="K182" s="26"/>
      <c r="L182" s="26"/>
      <c r="M182" s="22"/>
      <c r="N182" s="24"/>
      <c r="O182" s="23"/>
      <c r="P182" s="83"/>
    </row>
    <row r="183" spans="1:16" x14ac:dyDescent="0.25">
      <c r="A183" s="19" t="s">
        <v>965</v>
      </c>
      <c r="B183" s="23">
        <f t="shared" ref="B183:L183" si="106">SUM(B184:B184)</f>
        <v>4166.67</v>
      </c>
      <c r="C183" s="23">
        <f t="shared" si="106"/>
        <v>4166.67</v>
      </c>
      <c r="D183" s="23">
        <f t="shared" si="106"/>
        <v>4166.67</v>
      </c>
      <c r="E183" s="23">
        <f t="shared" si="106"/>
        <v>4166.67</v>
      </c>
      <c r="F183" s="23">
        <f t="shared" si="106"/>
        <v>4166.67</v>
      </c>
      <c r="G183" s="23">
        <f t="shared" si="106"/>
        <v>4166.67</v>
      </c>
      <c r="H183" s="23">
        <f t="shared" si="106"/>
        <v>4166.67</v>
      </c>
      <c r="I183" s="23">
        <f t="shared" si="106"/>
        <v>4166.67</v>
      </c>
      <c r="J183" s="23">
        <f t="shared" si="106"/>
        <v>4166.67</v>
      </c>
      <c r="K183" s="23">
        <f t="shared" si="106"/>
        <v>4166.67</v>
      </c>
      <c r="L183" s="23">
        <f t="shared" si="106"/>
        <v>4166.67</v>
      </c>
      <c r="M183" s="22">
        <f t="shared" si="95"/>
        <v>-45833.369999999988</v>
      </c>
      <c r="N183" s="24">
        <f>'D3-Capex'!I149</f>
        <v>0</v>
      </c>
      <c r="O183" s="23">
        <f>'D3-Capex'!J149</f>
        <v>0</v>
      </c>
      <c r="P183" s="83">
        <f>'D3-Capex'!K149</f>
        <v>0</v>
      </c>
    </row>
    <row r="184" spans="1:16" x14ac:dyDescent="0.25">
      <c r="A184" s="20" t="s">
        <v>965</v>
      </c>
      <c r="B184" s="372">
        <v>4166.67</v>
      </c>
      <c r="C184" s="372">
        <v>4166.67</v>
      </c>
      <c r="D184" s="372">
        <v>4166.67</v>
      </c>
      <c r="E184" s="372">
        <v>4166.67</v>
      </c>
      <c r="F184" s="372">
        <v>4166.67</v>
      </c>
      <c r="G184" s="372">
        <v>4166.67</v>
      </c>
      <c r="H184" s="372">
        <v>4166.67</v>
      </c>
      <c r="I184" s="372">
        <v>4166.67</v>
      </c>
      <c r="J184" s="372">
        <v>4166.67</v>
      </c>
      <c r="K184" s="372">
        <v>4166.67</v>
      </c>
      <c r="L184" s="372">
        <v>4166.67</v>
      </c>
      <c r="M184" s="22">
        <f t="shared" si="95"/>
        <v>-45833.369999999988</v>
      </c>
      <c r="N184" s="24">
        <f>'D3-Capex'!I150</f>
        <v>0</v>
      </c>
      <c r="O184" s="23">
        <f>'D3-Capex'!J150</f>
        <v>0</v>
      </c>
      <c r="P184" s="83">
        <f>'D3-Capex'!K150</f>
        <v>0</v>
      </c>
    </row>
    <row r="185" spans="1:16" x14ac:dyDescent="0.25">
      <c r="A185" s="21"/>
      <c r="B185" s="23"/>
      <c r="C185" s="23"/>
      <c r="D185" s="23"/>
      <c r="E185" s="23"/>
      <c r="F185" s="23"/>
      <c r="G185" s="23"/>
      <c r="H185" s="23"/>
      <c r="I185" s="23"/>
      <c r="J185" s="23"/>
      <c r="K185" s="23"/>
      <c r="L185" s="23"/>
      <c r="M185" s="22"/>
      <c r="N185" s="24"/>
      <c r="O185" s="23"/>
      <c r="P185" s="83"/>
    </row>
    <row r="186" spans="1:16" x14ac:dyDescent="0.25">
      <c r="A186" s="19" t="s">
        <v>966</v>
      </c>
      <c r="B186" s="23">
        <f t="shared" ref="B186:L186" si="107">SUM(B187:B187)</f>
        <v>2083.33</v>
      </c>
      <c r="C186" s="23">
        <f t="shared" si="107"/>
        <v>2083.33</v>
      </c>
      <c r="D186" s="23">
        <f t="shared" si="107"/>
        <v>2083.33</v>
      </c>
      <c r="E186" s="23">
        <f t="shared" si="107"/>
        <v>2083.33</v>
      </c>
      <c r="F186" s="23">
        <f t="shared" si="107"/>
        <v>2083.33</v>
      </c>
      <c r="G186" s="23">
        <f t="shared" si="107"/>
        <v>2083.33</v>
      </c>
      <c r="H186" s="23">
        <f t="shared" si="107"/>
        <v>2083.33</v>
      </c>
      <c r="I186" s="23">
        <f t="shared" si="107"/>
        <v>2083.33</v>
      </c>
      <c r="J186" s="23">
        <f t="shared" si="107"/>
        <v>2083.33</v>
      </c>
      <c r="K186" s="23">
        <f t="shared" si="107"/>
        <v>2083.33</v>
      </c>
      <c r="L186" s="23">
        <f t="shared" si="107"/>
        <v>2083.33</v>
      </c>
      <c r="M186" s="22">
        <f t="shared" si="95"/>
        <v>-22916.630000000005</v>
      </c>
      <c r="N186" s="24">
        <f>'D3-Capex'!I152</f>
        <v>0</v>
      </c>
      <c r="O186" s="23">
        <f>'D3-Capex'!J152</f>
        <v>0</v>
      </c>
      <c r="P186" s="83">
        <f>'D3-Capex'!K152</f>
        <v>0</v>
      </c>
    </row>
    <row r="187" spans="1:16" x14ac:dyDescent="0.25">
      <c r="A187" s="20" t="s">
        <v>966</v>
      </c>
      <c r="B187" s="372">
        <v>2083.33</v>
      </c>
      <c r="C187" s="372">
        <v>2083.33</v>
      </c>
      <c r="D187" s="372">
        <v>2083.33</v>
      </c>
      <c r="E187" s="372">
        <v>2083.33</v>
      </c>
      <c r="F187" s="372">
        <v>2083.33</v>
      </c>
      <c r="G187" s="372">
        <v>2083.33</v>
      </c>
      <c r="H187" s="372">
        <v>2083.33</v>
      </c>
      <c r="I187" s="372">
        <v>2083.33</v>
      </c>
      <c r="J187" s="372">
        <v>2083.33</v>
      </c>
      <c r="K187" s="372">
        <v>2083.33</v>
      </c>
      <c r="L187" s="372">
        <v>2083.33</v>
      </c>
      <c r="M187" s="22">
        <f t="shared" si="95"/>
        <v>-22916.630000000005</v>
      </c>
      <c r="N187" s="24">
        <f>'D3-Capex'!I153</f>
        <v>0</v>
      </c>
      <c r="O187" s="23">
        <f>'D3-Capex'!J153</f>
        <v>0</v>
      </c>
      <c r="P187" s="83">
        <f>'D3-Capex'!K153</f>
        <v>0</v>
      </c>
    </row>
    <row r="188" spans="1:16" x14ac:dyDescent="0.25">
      <c r="A188" s="21"/>
      <c r="B188" s="23"/>
      <c r="C188" s="23"/>
      <c r="D188" s="23"/>
      <c r="E188" s="23"/>
      <c r="F188" s="23"/>
      <c r="G188" s="23"/>
      <c r="H188" s="23"/>
      <c r="I188" s="23"/>
      <c r="J188" s="23"/>
      <c r="K188" s="23"/>
      <c r="L188" s="23"/>
      <c r="M188" s="22"/>
      <c r="N188" s="24"/>
      <c r="O188" s="23"/>
      <c r="P188" s="83"/>
    </row>
    <row r="189" spans="1:16" x14ac:dyDescent="0.25">
      <c r="A189" s="19" t="s">
        <v>967</v>
      </c>
      <c r="B189" s="23">
        <f t="shared" ref="B189:L189" si="108">SUM(B190:B190)</f>
        <v>2083.33</v>
      </c>
      <c r="C189" s="23">
        <f t="shared" si="108"/>
        <v>2083.33</v>
      </c>
      <c r="D189" s="23">
        <f t="shared" si="108"/>
        <v>2083.33</v>
      </c>
      <c r="E189" s="23">
        <f t="shared" si="108"/>
        <v>2083.33</v>
      </c>
      <c r="F189" s="23">
        <f t="shared" si="108"/>
        <v>2083.33</v>
      </c>
      <c r="G189" s="23">
        <f t="shared" si="108"/>
        <v>2083.33</v>
      </c>
      <c r="H189" s="23">
        <f t="shared" si="108"/>
        <v>2083.33</v>
      </c>
      <c r="I189" s="23">
        <f t="shared" si="108"/>
        <v>2083.33</v>
      </c>
      <c r="J189" s="23">
        <f t="shared" si="108"/>
        <v>2083.33</v>
      </c>
      <c r="K189" s="23">
        <f t="shared" si="108"/>
        <v>2083.33</v>
      </c>
      <c r="L189" s="23">
        <f t="shared" si="108"/>
        <v>2083.33</v>
      </c>
      <c r="M189" s="22">
        <f t="shared" si="95"/>
        <v>-22916.630000000005</v>
      </c>
      <c r="N189" s="24">
        <f>'D3-Capex'!I155</f>
        <v>0</v>
      </c>
      <c r="O189" s="23">
        <f>'D3-Capex'!J155</f>
        <v>0</v>
      </c>
      <c r="P189" s="83">
        <f>'D3-Capex'!K155</f>
        <v>0</v>
      </c>
    </row>
    <row r="190" spans="1:16" x14ac:dyDescent="0.25">
      <c r="A190" s="20" t="s">
        <v>967</v>
      </c>
      <c r="B190" s="372">
        <v>2083.33</v>
      </c>
      <c r="C190" s="372">
        <v>2083.33</v>
      </c>
      <c r="D190" s="372">
        <v>2083.33</v>
      </c>
      <c r="E190" s="372">
        <v>2083.33</v>
      </c>
      <c r="F190" s="372">
        <v>2083.33</v>
      </c>
      <c r="G190" s="372">
        <v>2083.33</v>
      </c>
      <c r="H190" s="372">
        <v>2083.33</v>
      </c>
      <c r="I190" s="372">
        <v>2083.33</v>
      </c>
      <c r="J190" s="372">
        <v>2083.33</v>
      </c>
      <c r="K190" s="372">
        <v>2083.33</v>
      </c>
      <c r="L190" s="372">
        <v>2083.33</v>
      </c>
      <c r="M190" s="22">
        <f t="shared" si="95"/>
        <v>-22916.630000000005</v>
      </c>
      <c r="N190" s="24">
        <f>'D3-Capex'!I156</f>
        <v>0</v>
      </c>
      <c r="O190" s="23">
        <f>'D3-Capex'!J156</f>
        <v>0</v>
      </c>
      <c r="P190" s="83">
        <f>'D3-Capex'!K156</f>
        <v>0</v>
      </c>
    </row>
    <row r="191" spans="1:16" x14ac:dyDescent="0.25">
      <c r="A191" s="21"/>
      <c r="B191" s="23"/>
      <c r="C191" s="23"/>
      <c r="D191" s="23"/>
      <c r="E191" s="23"/>
      <c r="F191" s="23"/>
      <c r="G191" s="23"/>
      <c r="H191" s="23"/>
      <c r="I191" s="23"/>
      <c r="J191" s="23"/>
      <c r="K191" s="23"/>
      <c r="L191" s="23"/>
      <c r="M191" s="22"/>
      <c r="N191" s="24"/>
      <c r="O191" s="23"/>
      <c r="P191" s="83"/>
    </row>
    <row r="192" spans="1:16" x14ac:dyDescent="0.25">
      <c r="A192" s="19" t="s">
        <v>968</v>
      </c>
      <c r="B192" s="23">
        <f t="shared" ref="B192:L192" si="109">SUM(B193:B193)</f>
        <v>0</v>
      </c>
      <c r="C192" s="23">
        <f t="shared" si="109"/>
        <v>0</v>
      </c>
      <c r="D192" s="23">
        <f t="shared" si="109"/>
        <v>0</v>
      </c>
      <c r="E192" s="23">
        <f t="shared" si="109"/>
        <v>0</v>
      </c>
      <c r="F192" s="23">
        <f t="shared" si="109"/>
        <v>0</v>
      </c>
      <c r="G192" s="23">
        <f t="shared" si="109"/>
        <v>0</v>
      </c>
      <c r="H192" s="23">
        <f t="shared" si="109"/>
        <v>0</v>
      </c>
      <c r="I192" s="23">
        <f t="shared" si="109"/>
        <v>0</v>
      </c>
      <c r="J192" s="23">
        <f t="shared" si="109"/>
        <v>0</v>
      </c>
      <c r="K192" s="23">
        <f t="shared" si="109"/>
        <v>0</v>
      </c>
      <c r="L192" s="23">
        <f t="shared" si="109"/>
        <v>0</v>
      </c>
      <c r="M192" s="22">
        <f t="shared" si="95"/>
        <v>0</v>
      </c>
      <c r="N192" s="24">
        <f>'D3-Capex'!I158</f>
        <v>0</v>
      </c>
      <c r="O192" s="23">
        <f>'D3-Capex'!J158</f>
        <v>0</v>
      </c>
      <c r="P192" s="83">
        <f>'D3-Capex'!K158</f>
        <v>0</v>
      </c>
    </row>
    <row r="193" spans="1:16" x14ac:dyDescent="0.25">
      <c r="A193" s="20" t="s">
        <v>968</v>
      </c>
      <c r="B193" s="372"/>
      <c r="C193" s="372"/>
      <c r="D193" s="372"/>
      <c r="E193" s="372"/>
      <c r="F193" s="372"/>
      <c r="G193" s="372"/>
      <c r="H193" s="372"/>
      <c r="I193" s="372"/>
      <c r="J193" s="372"/>
      <c r="K193" s="372"/>
      <c r="L193" s="372"/>
      <c r="M193" s="22">
        <f t="shared" si="95"/>
        <v>0</v>
      </c>
      <c r="N193" s="24">
        <f>'D3-Capex'!I159</f>
        <v>0</v>
      </c>
      <c r="O193" s="23">
        <f>'D3-Capex'!J159</f>
        <v>0</v>
      </c>
      <c r="P193" s="83">
        <f>'D3-Capex'!K159</f>
        <v>0</v>
      </c>
    </row>
    <row r="194" spans="1:16" x14ac:dyDescent="0.25">
      <c r="A194" s="21"/>
      <c r="B194" s="23"/>
      <c r="C194" s="23"/>
      <c r="D194" s="23"/>
      <c r="E194" s="23"/>
      <c r="F194" s="23"/>
      <c r="G194" s="23"/>
      <c r="H194" s="23"/>
      <c r="I194" s="23"/>
      <c r="J194" s="23"/>
      <c r="K194" s="23"/>
      <c r="L194" s="23"/>
      <c r="M194" s="22"/>
      <c r="N194" s="24"/>
      <c r="O194" s="23"/>
      <c r="P194" s="83"/>
    </row>
    <row r="195" spans="1:16" x14ac:dyDescent="0.25">
      <c r="A195" s="19" t="s">
        <v>983</v>
      </c>
      <c r="B195" s="23">
        <f t="shared" ref="B195:L195" si="110">SUM(B196:B196)</f>
        <v>0</v>
      </c>
      <c r="C195" s="23">
        <f t="shared" si="110"/>
        <v>0</v>
      </c>
      <c r="D195" s="23">
        <f t="shared" si="110"/>
        <v>0</v>
      </c>
      <c r="E195" s="23">
        <f t="shared" si="110"/>
        <v>0</v>
      </c>
      <c r="F195" s="23">
        <f t="shared" si="110"/>
        <v>0</v>
      </c>
      <c r="G195" s="23">
        <f t="shared" si="110"/>
        <v>0</v>
      </c>
      <c r="H195" s="23">
        <f t="shared" si="110"/>
        <v>0</v>
      </c>
      <c r="I195" s="23">
        <f t="shared" si="110"/>
        <v>0</v>
      </c>
      <c r="J195" s="23">
        <f t="shared" si="110"/>
        <v>0</v>
      </c>
      <c r="K195" s="23">
        <f t="shared" si="110"/>
        <v>0</v>
      </c>
      <c r="L195" s="23">
        <f t="shared" si="110"/>
        <v>0</v>
      </c>
      <c r="M195" s="22">
        <f t="shared" si="95"/>
        <v>0</v>
      </c>
      <c r="N195" s="24">
        <f>'D3-Capex'!I161</f>
        <v>0</v>
      </c>
      <c r="O195" s="23">
        <f>'D3-Capex'!J161</f>
        <v>0</v>
      </c>
      <c r="P195" s="83">
        <f>'D3-Capex'!K161</f>
        <v>0</v>
      </c>
    </row>
    <row r="196" spans="1:16" x14ac:dyDescent="0.25">
      <c r="A196" s="20" t="s">
        <v>983</v>
      </c>
      <c r="B196" s="372"/>
      <c r="C196" s="372"/>
      <c r="D196" s="372"/>
      <c r="E196" s="372"/>
      <c r="F196" s="372"/>
      <c r="G196" s="372"/>
      <c r="H196" s="372"/>
      <c r="I196" s="372"/>
      <c r="J196" s="372"/>
      <c r="K196" s="372"/>
      <c r="L196" s="372"/>
      <c r="M196" s="22">
        <f t="shared" si="95"/>
        <v>0</v>
      </c>
      <c r="N196" s="24">
        <f>'D3-Capex'!I162</f>
        <v>0</v>
      </c>
      <c r="O196" s="23">
        <f>'D3-Capex'!J162</f>
        <v>0</v>
      </c>
      <c r="P196" s="83">
        <f>'D3-Capex'!K162</f>
        <v>0</v>
      </c>
    </row>
    <row r="197" spans="1:16" x14ac:dyDescent="0.25">
      <c r="A197" s="21"/>
      <c r="B197" s="23"/>
      <c r="C197" s="23"/>
      <c r="D197" s="23"/>
      <c r="E197" s="23"/>
      <c r="F197" s="23"/>
      <c r="G197" s="23"/>
      <c r="H197" s="23"/>
      <c r="I197" s="23"/>
      <c r="J197" s="23"/>
      <c r="K197" s="23"/>
      <c r="L197" s="23"/>
      <c r="M197" s="22"/>
      <c r="N197" s="24"/>
      <c r="O197" s="23"/>
      <c r="P197" s="83"/>
    </row>
    <row r="198" spans="1:16" x14ac:dyDescent="0.25">
      <c r="A198" s="19" t="s">
        <v>969</v>
      </c>
      <c r="B198" s="23">
        <f t="shared" ref="B198:L198" si="111">SUM(B199:B199)</f>
        <v>0</v>
      </c>
      <c r="C198" s="23">
        <f t="shared" si="111"/>
        <v>0</v>
      </c>
      <c r="D198" s="23">
        <f t="shared" si="111"/>
        <v>0</v>
      </c>
      <c r="E198" s="23">
        <f t="shared" si="111"/>
        <v>0</v>
      </c>
      <c r="F198" s="23">
        <f t="shared" si="111"/>
        <v>0</v>
      </c>
      <c r="G198" s="23">
        <f t="shared" si="111"/>
        <v>0</v>
      </c>
      <c r="H198" s="23">
        <f t="shared" si="111"/>
        <v>0</v>
      </c>
      <c r="I198" s="23">
        <f t="shared" si="111"/>
        <v>0</v>
      </c>
      <c r="J198" s="23">
        <f t="shared" si="111"/>
        <v>0</v>
      </c>
      <c r="K198" s="23">
        <f t="shared" si="111"/>
        <v>0</v>
      </c>
      <c r="L198" s="23">
        <f t="shared" si="111"/>
        <v>0</v>
      </c>
      <c r="M198" s="22">
        <f t="shared" si="95"/>
        <v>0</v>
      </c>
      <c r="N198" s="24">
        <f>'D3-Capex'!I164</f>
        <v>0</v>
      </c>
      <c r="O198" s="23">
        <f>'D3-Capex'!J164</f>
        <v>0</v>
      </c>
      <c r="P198" s="83">
        <f>'D3-Capex'!K164</f>
        <v>0</v>
      </c>
    </row>
    <row r="199" spans="1:16" x14ac:dyDescent="0.25">
      <c r="A199" s="20" t="s">
        <v>969</v>
      </c>
      <c r="B199" s="372"/>
      <c r="C199" s="372"/>
      <c r="D199" s="372"/>
      <c r="E199" s="372"/>
      <c r="F199" s="372"/>
      <c r="G199" s="372"/>
      <c r="H199" s="372"/>
      <c r="I199" s="372"/>
      <c r="J199" s="372"/>
      <c r="K199" s="372"/>
      <c r="L199" s="372"/>
      <c r="M199" s="22">
        <f t="shared" si="95"/>
        <v>0</v>
      </c>
      <c r="N199" s="24">
        <f>'D3-Capex'!I165</f>
        <v>0</v>
      </c>
      <c r="O199" s="23">
        <f>'D3-Capex'!J165</f>
        <v>0</v>
      </c>
      <c r="P199" s="83">
        <f>'D3-Capex'!K165</f>
        <v>0</v>
      </c>
    </row>
    <row r="200" spans="1:16" x14ac:dyDescent="0.25">
      <c r="A200" s="21"/>
      <c r="B200" s="23"/>
      <c r="C200" s="23"/>
      <c r="D200" s="23"/>
      <c r="E200" s="23"/>
      <c r="F200" s="23"/>
      <c r="G200" s="23"/>
      <c r="H200" s="23"/>
      <c r="I200" s="23"/>
      <c r="J200" s="23"/>
      <c r="K200" s="23"/>
      <c r="L200" s="23"/>
      <c r="M200" s="22"/>
      <c r="N200" s="24"/>
      <c r="O200" s="23"/>
      <c r="P200" s="83"/>
    </row>
    <row r="201" spans="1:16" x14ac:dyDescent="0.25">
      <c r="A201" s="28" t="s">
        <v>1026</v>
      </c>
      <c r="B201" s="29">
        <f>B40+B108+B137+B144+B152+B170+B173+B183+B186+B189+B192+B195+B198</f>
        <v>18749.989999999998</v>
      </c>
      <c r="C201" s="29">
        <f t="shared" ref="C201" si="112">C40+C108+C137+C144+C152+C170+C173+C183+C186+C189+C192+C195+C198</f>
        <v>18749.989999999998</v>
      </c>
      <c r="D201" s="29">
        <f>D40+D108+D137+D144+D152+D170+D173+D183+D186+D189+D192+D195+D198</f>
        <v>18749.989999999998</v>
      </c>
      <c r="E201" s="29">
        <f t="shared" ref="E201" si="113">E40+E108+E137+E144+E152+E170+E173+E183+E186+E189+E192+E195+E198</f>
        <v>18749.989999999998</v>
      </c>
      <c r="F201" s="29">
        <f>F40+F108+F137+F144+F152+F170+F173+F183+F186+F189+F192+F195+F198</f>
        <v>18749.989999999998</v>
      </c>
      <c r="G201" s="29">
        <f t="shared" ref="G201" si="114">G40+G108+G137+G144+G152+G170+G173+G183+G186+G189+G192+G195+G198</f>
        <v>18749.989999999998</v>
      </c>
      <c r="H201" s="29">
        <f>H40+H108+H137+H144+H152+H170+H173+H183+H186+H189+H192+H195+H198</f>
        <v>18749.989999999998</v>
      </c>
      <c r="I201" s="29">
        <f t="shared" ref="I201" si="115">I40+I108+I137+I144+I152+I170+I173+I183+I186+I189+I192+I195+I198</f>
        <v>18749.989999999998</v>
      </c>
      <c r="J201" s="29">
        <f>J40+J108+J137+J144+J152+J170+J173+J183+J186+J189+J192+J195+J198</f>
        <v>18749.989999999998</v>
      </c>
      <c r="K201" s="29">
        <f t="shared" ref="K201:L201" si="116">K40+K108+K137+K144+K152+K170+K173+K183+K186+K189+K192+K195+K198</f>
        <v>18749.989999999998</v>
      </c>
      <c r="L201" s="29">
        <f t="shared" si="116"/>
        <v>18749.989999999998</v>
      </c>
      <c r="M201" s="144">
        <f t="shared" si="95"/>
        <v>-206249.88999999993</v>
      </c>
      <c r="N201" s="117">
        <f>'D3-Capex'!I167</f>
        <v>0</v>
      </c>
      <c r="O201" s="118">
        <f>'D3-Capex'!J167</f>
        <v>0</v>
      </c>
      <c r="P201" s="119">
        <f>'D3-Capex'!K167</f>
        <v>0</v>
      </c>
    </row>
    <row r="203" spans="1:16" x14ac:dyDescent="0.25">
      <c r="A203" s="45" t="s">
        <v>312</v>
      </c>
    </row>
    <row r="204" spans="1:16" x14ac:dyDescent="0.25">
      <c r="A204" s="209" t="s">
        <v>340</v>
      </c>
      <c r="B204" s="447"/>
      <c r="C204" s="448"/>
      <c r="D204" s="448"/>
      <c r="E204" s="448"/>
      <c r="F204" s="448"/>
      <c r="G204" s="448"/>
      <c r="H204" s="448"/>
      <c r="I204" s="448"/>
      <c r="J204" s="448"/>
      <c r="K204" s="448"/>
      <c r="L204" s="448"/>
      <c r="M204" s="449"/>
      <c r="N204" s="450"/>
      <c r="O204" s="448"/>
      <c r="P204" s="449"/>
    </row>
    <row r="205" spans="1:16" x14ac:dyDescent="0.25">
      <c r="A205" s="20" t="s">
        <v>363</v>
      </c>
      <c r="B205" s="168"/>
      <c r="C205" s="166"/>
      <c r="D205" s="166"/>
      <c r="E205" s="166"/>
      <c r="F205" s="166"/>
      <c r="G205" s="166"/>
      <c r="H205" s="166"/>
      <c r="I205" s="166"/>
      <c r="J205" s="166"/>
      <c r="K205" s="166"/>
      <c r="L205" s="166"/>
      <c r="M205" s="22">
        <f t="shared" ref="M205:M240" si="117">N205-SUM(B205:L205)</f>
        <v>0</v>
      </c>
      <c r="N205" s="24">
        <f>'D5-CFlow'!I6</f>
        <v>0</v>
      </c>
      <c r="O205" s="23">
        <f>'D5-CFlow'!J6</f>
        <v>0</v>
      </c>
      <c r="P205" s="83">
        <f>'D5-CFlow'!K6</f>
        <v>0</v>
      </c>
    </row>
    <row r="206" spans="1:16" x14ac:dyDescent="0.25">
      <c r="A206" s="20" t="s">
        <v>407</v>
      </c>
      <c r="B206" s="168"/>
      <c r="C206" s="166"/>
      <c r="D206" s="166"/>
      <c r="E206" s="166"/>
      <c r="F206" s="166"/>
      <c r="G206" s="166"/>
      <c r="H206" s="166"/>
      <c r="I206" s="166"/>
      <c r="J206" s="166"/>
      <c r="K206" s="166"/>
      <c r="L206" s="166"/>
      <c r="M206" s="22">
        <f t="shared" si="117"/>
        <v>0</v>
      </c>
      <c r="N206" s="24">
        <f>'D5-CFlow'!I7</f>
        <v>0</v>
      </c>
      <c r="O206" s="23">
        <f>'D5-CFlow'!J7</f>
        <v>0</v>
      </c>
      <c r="P206" s="83">
        <f>'D5-CFlow'!K7</f>
        <v>0</v>
      </c>
    </row>
    <row r="207" spans="1:16" x14ac:dyDescent="0.25">
      <c r="A207" s="20" t="s">
        <v>20</v>
      </c>
      <c r="B207" s="168">
        <v>1250</v>
      </c>
      <c r="C207" s="168">
        <v>1250</v>
      </c>
      <c r="D207" s="168">
        <v>1250</v>
      </c>
      <c r="E207" s="168">
        <v>1250</v>
      </c>
      <c r="F207" s="168">
        <v>1250</v>
      </c>
      <c r="G207" s="168">
        <v>1250</v>
      </c>
      <c r="H207" s="168">
        <v>1250</v>
      </c>
      <c r="I207" s="168">
        <v>1250</v>
      </c>
      <c r="J207" s="168">
        <v>1250</v>
      </c>
      <c r="K207" s="168">
        <v>1250</v>
      </c>
      <c r="L207" s="168">
        <v>1250</v>
      </c>
      <c r="M207" s="22">
        <f t="shared" si="117"/>
        <v>1250</v>
      </c>
      <c r="N207" s="24">
        <f>'D5-CFlow'!I8</f>
        <v>15000</v>
      </c>
      <c r="O207" s="23">
        <f>'D5-CFlow'!J8</f>
        <v>15750</v>
      </c>
      <c r="P207" s="83">
        <f>'D5-CFlow'!K8</f>
        <v>16537.5</v>
      </c>
    </row>
    <row r="208" spans="1:16" x14ac:dyDescent="0.25">
      <c r="A208" s="20" t="s">
        <v>205</v>
      </c>
      <c r="B208" s="168">
        <v>1283333.33</v>
      </c>
      <c r="C208" s="168">
        <v>1283333.33</v>
      </c>
      <c r="D208" s="168">
        <v>1283333.33</v>
      </c>
      <c r="E208" s="168">
        <v>1283333.33</v>
      </c>
      <c r="F208" s="168">
        <v>1283333.33</v>
      </c>
      <c r="G208" s="168">
        <v>1283333.33</v>
      </c>
      <c r="H208" s="168">
        <v>1283333.33</v>
      </c>
      <c r="I208" s="168">
        <v>1283333.33</v>
      </c>
      <c r="J208" s="168">
        <v>1283333.33</v>
      </c>
      <c r="K208" s="168">
        <v>1283333.33</v>
      </c>
      <c r="L208" s="168">
        <v>1283333.33</v>
      </c>
      <c r="M208" s="22">
        <f t="shared" si="117"/>
        <v>1283333.3699999992</v>
      </c>
      <c r="N208" s="24">
        <f>'D5-CFlow'!I9</f>
        <v>15400000</v>
      </c>
      <c r="O208" s="23">
        <f>'D5-CFlow'!J9</f>
        <v>16170000</v>
      </c>
      <c r="P208" s="83">
        <f>'D5-CFlow'!K9</f>
        <v>16978500</v>
      </c>
    </row>
    <row r="209" spans="1:16" x14ac:dyDescent="0.25">
      <c r="A209" s="20" t="s">
        <v>206</v>
      </c>
      <c r="B209" s="168"/>
      <c r="C209" s="166"/>
      <c r="D209" s="166"/>
      <c r="E209" s="166"/>
      <c r="F209" s="166"/>
      <c r="G209" s="166"/>
      <c r="H209" s="166"/>
      <c r="I209" s="166"/>
      <c r="J209" s="166"/>
      <c r="K209" s="166"/>
      <c r="L209" s="166"/>
      <c r="M209" s="22">
        <f t="shared" si="117"/>
        <v>0</v>
      </c>
      <c r="N209" s="24">
        <f>'D5-CFlow'!I10</f>
        <v>0</v>
      </c>
      <c r="O209" s="23">
        <f>'D5-CFlow'!J10</f>
        <v>0</v>
      </c>
      <c r="P209" s="83">
        <f>'D5-CFlow'!K10</f>
        <v>0</v>
      </c>
    </row>
    <row r="210" spans="1:16" x14ac:dyDescent="0.25">
      <c r="A210" s="20" t="s">
        <v>329</v>
      </c>
      <c r="B210" s="168">
        <v>44208.33</v>
      </c>
      <c r="C210" s="168">
        <v>44208.33</v>
      </c>
      <c r="D210" s="168">
        <v>44208.33</v>
      </c>
      <c r="E210" s="168">
        <v>44208.33</v>
      </c>
      <c r="F210" s="168">
        <v>44208.33</v>
      </c>
      <c r="G210" s="168">
        <v>44208.33</v>
      </c>
      <c r="H210" s="168">
        <v>44208.33</v>
      </c>
      <c r="I210" s="168">
        <v>44208.33</v>
      </c>
      <c r="J210" s="168">
        <v>44208.33</v>
      </c>
      <c r="K210" s="168">
        <v>44208.33</v>
      </c>
      <c r="L210" s="168">
        <v>44208.33</v>
      </c>
      <c r="M210" s="22">
        <f t="shared" si="117"/>
        <v>44208.369999999879</v>
      </c>
      <c r="N210" s="24">
        <f>'D5-CFlow'!I11</f>
        <v>530500</v>
      </c>
      <c r="O210" s="23">
        <f>'D5-CFlow'!J11</f>
        <v>557025</v>
      </c>
      <c r="P210" s="83">
        <f>'D5-CFlow'!K11</f>
        <v>584876.25</v>
      </c>
    </row>
    <row r="211" spans="1:16" x14ac:dyDescent="0.25">
      <c r="A211" s="20" t="s">
        <v>185</v>
      </c>
      <c r="B211" s="168"/>
      <c r="C211" s="166"/>
      <c r="D211" s="166"/>
      <c r="E211" s="166"/>
      <c r="F211" s="166"/>
      <c r="G211" s="166"/>
      <c r="H211" s="166"/>
      <c r="I211" s="166"/>
      <c r="J211" s="166"/>
      <c r="K211" s="166"/>
      <c r="L211" s="166"/>
      <c r="M211" s="22">
        <f t="shared" si="117"/>
        <v>0</v>
      </c>
      <c r="N211" s="24">
        <f>'D5-CFlow'!I12</f>
        <v>0</v>
      </c>
      <c r="O211" s="23">
        <f>'D5-CFlow'!J12</f>
        <v>0</v>
      </c>
      <c r="P211" s="83">
        <f>'D5-CFlow'!K12</f>
        <v>0</v>
      </c>
    </row>
    <row r="212" spans="1:16" x14ac:dyDescent="0.25">
      <c r="A212" s="45" t="s">
        <v>341</v>
      </c>
      <c r="B212" s="24"/>
      <c r="C212" s="23"/>
      <c r="D212" s="23"/>
      <c r="E212" s="23"/>
      <c r="F212" s="23"/>
      <c r="G212" s="23"/>
      <c r="H212" s="23"/>
      <c r="I212" s="23"/>
      <c r="J212" s="23"/>
      <c r="K212" s="23"/>
      <c r="L212" s="23"/>
      <c r="M212" s="22"/>
      <c r="N212" s="24"/>
      <c r="O212" s="23"/>
      <c r="P212" s="83"/>
    </row>
    <row r="213" spans="1:16" x14ac:dyDescent="0.25">
      <c r="A213" s="20" t="s">
        <v>207</v>
      </c>
      <c r="B213" s="168">
        <v>-1309041.67</v>
      </c>
      <c r="C213" s="168">
        <v>-1309041.67</v>
      </c>
      <c r="D213" s="168">
        <v>-1309041.67</v>
      </c>
      <c r="E213" s="168">
        <v>-1309041.67</v>
      </c>
      <c r="F213" s="168">
        <v>-1309041.67</v>
      </c>
      <c r="G213" s="168">
        <v>-1309041.67</v>
      </c>
      <c r="H213" s="168">
        <v>-1309041.67</v>
      </c>
      <c r="I213" s="168">
        <v>-1309041.67</v>
      </c>
      <c r="J213" s="168">
        <v>-1309041.67</v>
      </c>
      <c r="K213" s="168">
        <v>-1309041.67</v>
      </c>
      <c r="L213" s="168">
        <v>-1309041.67</v>
      </c>
      <c r="M213" s="22">
        <f t="shared" si="117"/>
        <v>-1309041.6300000008</v>
      </c>
      <c r="N213" s="24">
        <f>'D5-CFlow'!I14</f>
        <v>-15708500</v>
      </c>
      <c r="O213" s="23">
        <f>'D5-CFlow'!J14</f>
        <v>-16493925</v>
      </c>
      <c r="P213" s="83">
        <f>'D5-CFlow'!K14</f>
        <v>-17318621.25</v>
      </c>
    </row>
    <row r="214" spans="1:16" x14ac:dyDescent="0.25">
      <c r="A214" s="20" t="s">
        <v>19</v>
      </c>
      <c r="B214" s="168">
        <v>-1000</v>
      </c>
      <c r="C214" s="168">
        <v>-1000</v>
      </c>
      <c r="D214" s="168">
        <v>-1000</v>
      </c>
      <c r="E214" s="168">
        <v>-1000</v>
      </c>
      <c r="F214" s="168">
        <v>-1000</v>
      </c>
      <c r="G214" s="168">
        <v>-1000</v>
      </c>
      <c r="H214" s="168">
        <v>-1000</v>
      </c>
      <c r="I214" s="168">
        <v>-1000</v>
      </c>
      <c r="J214" s="168">
        <v>-1000</v>
      </c>
      <c r="K214" s="168">
        <v>-1000</v>
      </c>
      <c r="L214" s="168">
        <v>-1000</v>
      </c>
      <c r="M214" s="22">
        <f t="shared" si="117"/>
        <v>-1000</v>
      </c>
      <c r="N214" s="24">
        <f>'D5-CFlow'!I15</f>
        <v>-12000</v>
      </c>
      <c r="O214" s="23">
        <f>'D5-CFlow'!J15</f>
        <v>-12600</v>
      </c>
      <c r="P214" s="83">
        <f>'D5-CFlow'!K15</f>
        <v>-13230</v>
      </c>
    </row>
    <row r="215" spans="1:16" x14ac:dyDescent="0.25">
      <c r="A215" s="20" t="s">
        <v>331</v>
      </c>
      <c r="B215" s="168"/>
      <c r="C215" s="166"/>
      <c r="D215" s="166"/>
      <c r="E215" s="166"/>
      <c r="F215" s="166"/>
      <c r="G215" s="166"/>
      <c r="H215" s="166"/>
      <c r="I215" s="166"/>
      <c r="J215" s="166"/>
      <c r="K215" s="166"/>
      <c r="L215" s="166"/>
      <c r="M215" s="22">
        <f t="shared" si="117"/>
        <v>0</v>
      </c>
      <c r="N215" s="24">
        <f>'D5-CFlow'!I16</f>
        <v>0</v>
      </c>
      <c r="O215" s="23">
        <f>'D5-CFlow'!J16</f>
        <v>0</v>
      </c>
      <c r="P215" s="83">
        <f>'D5-CFlow'!K16</f>
        <v>0</v>
      </c>
    </row>
    <row r="216" spans="1:16" x14ac:dyDescent="0.25">
      <c r="A216" s="20" t="s">
        <v>771</v>
      </c>
      <c r="B216" s="168"/>
      <c r="C216" s="166"/>
      <c r="D216" s="166"/>
      <c r="E216" s="166"/>
      <c r="F216" s="166"/>
      <c r="G216" s="166"/>
      <c r="H216" s="166"/>
      <c r="I216" s="166"/>
      <c r="J216" s="166"/>
      <c r="K216" s="166"/>
      <c r="L216" s="166"/>
      <c r="M216" s="22">
        <f t="shared" si="117"/>
        <v>0</v>
      </c>
      <c r="N216" s="24">
        <f>'D5-CFlow'!I17</f>
        <v>0</v>
      </c>
      <c r="O216" s="23">
        <f>'D5-CFlow'!J17</f>
        <v>0</v>
      </c>
      <c r="P216" s="83">
        <f>'D5-CFlow'!K17</f>
        <v>0</v>
      </c>
    </row>
    <row r="217" spans="1:16" x14ac:dyDescent="0.25">
      <c r="A217" s="47" t="s">
        <v>334</v>
      </c>
      <c r="B217" s="39">
        <f t="shared" ref="B217:L217" si="118">SUM(B205:B211)+SUM(B213:B216)</f>
        <v>18749.990000000224</v>
      </c>
      <c r="C217" s="38">
        <f t="shared" si="118"/>
        <v>18749.990000000224</v>
      </c>
      <c r="D217" s="38">
        <f t="shared" si="118"/>
        <v>18749.990000000224</v>
      </c>
      <c r="E217" s="38">
        <f t="shared" si="118"/>
        <v>18749.990000000224</v>
      </c>
      <c r="F217" s="38">
        <f t="shared" si="118"/>
        <v>18749.990000000224</v>
      </c>
      <c r="G217" s="38">
        <f t="shared" si="118"/>
        <v>18749.990000000224</v>
      </c>
      <c r="H217" s="38">
        <f t="shared" si="118"/>
        <v>18749.990000000224</v>
      </c>
      <c r="I217" s="38">
        <f t="shared" si="118"/>
        <v>18749.990000000224</v>
      </c>
      <c r="J217" s="38">
        <f t="shared" si="118"/>
        <v>18749.990000000224</v>
      </c>
      <c r="K217" s="38">
        <f t="shared" si="118"/>
        <v>18749.990000000224</v>
      </c>
      <c r="L217" s="38">
        <f t="shared" si="118"/>
        <v>18749.990000000224</v>
      </c>
      <c r="M217" s="143">
        <f t="shared" si="117"/>
        <v>18750.109999997541</v>
      </c>
      <c r="N217" s="122">
        <f>'D5-CFlow'!I18</f>
        <v>225000</v>
      </c>
      <c r="O217" s="87">
        <f>'D5-CFlow'!J18</f>
        <v>236250</v>
      </c>
      <c r="P217" s="114">
        <f>'D5-CFlow'!K18</f>
        <v>248062.5</v>
      </c>
    </row>
    <row r="218" spans="1:16" x14ac:dyDescent="0.25">
      <c r="A218" s="21"/>
      <c r="B218" s="24"/>
      <c r="C218" s="23"/>
      <c r="D218" s="23"/>
      <c r="E218" s="23"/>
      <c r="F218" s="23"/>
      <c r="G218" s="23"/>
      <c r="H218" s="23"/>
      <c r="I218" s="23"/>
      <c r="J218" s="23"/>
      <c r="K218" s="23"/>
      <c r="L218" s="23"/>
      <c r="M218" s="22"/>
      <c r="N218" s="24"/>
      <c r="O218" s="23"/>
      <c r="P218" s="83"/>
    </row>
    <row r="219" spans="1:16" x14ac:dyDescent="0.25">
      <c r="A219" s="45" t="s">
        <v>233</v>
      </c>
      <c r="B219" s="24"/>
      <c r="C219" s="23"/>
      <c r="D219" s="23"/>
      <c r="E219" s="23"/>
      <c r="F219" s="23"/>
      <c r="G219" s="23"/>
      <c r="H219" s="23"/>
      <c r="I219" s="23"/>
      <c r="J219" s="23"/>
      <c r="K219" s="23"/>
      <c r="L219" s="23"/>
      <c r="M219" s="22"/>
      <c r="N219" s="24"/>
      <c r="O219" s="23"/>
      <c r="P219" s="83"/>
    </row>
    <row r="220" spans="1:16" x14ac:dyDescent="0.25">
      <c r="A220" s="45" t="s">
        <v>340</v>
      </c>
      <c r="B220" s="24"/>
      <c r="C220" s="23"/>
      <c r="D220" s="23"/>
      <c r="E220" s="23"/>
      <c r="F220" s="23"/>
      <c r="G220" s="23"/>
      <c r="H220" s="23"/>
      <c r="I220" s="23"/>
      <c r="J220" s="23"/>
      <c r="K220" s="23"/>
      <c r="L220" s="23"/>
      <c r="M220" s="22"/>
      <c r="N220" s="24"/>
      <c r="O220" s="23"/>
      <c r="P220" s="83"/>
    </row>
    <row r="221" spans="1:16" x14ac:dyDescent="0.25">
      <c r="A221" s="20" t="s">
        <v>360</v>
      </c>
      <c r="B221" s="168"/>
      <c r="C221" s="166"/>
      <c r="D221" s="166"/>
      <c r="E221" s="166"/>
      <c r="F221" s="166"/>
      <c r="G221" s="166"/>
      <c r="H221" s="166"/>
      <c r="I221" s="166"/>
      <c r="J221" s="166"/>
      <c r="K221" s="166"/>
      <c r="L221" s="166"/>
      <c r="M221" s="22">
        <f t="shared" si="117"/>
        <v>0</v>
      </c>
      <c r="N221" s="24">
        <f>'D5-CFlow'!I22</f>
        <v>0</v>
      </c>
      <c r="O221" s="23">
        <f>'D5-CFlow'!J22</f>
        <v>0</v>
      </c>
      <c r="P221" s="83">
        <f>'D5-CFlow'!K22</f>
        <v>0</v>
      </c>
    </row>
    <row r="222" spans="1:16" x14ac:dyDescent="0.25">
      <c r="A222" s="20" t="s">
        <v>9</v>
      </c>
      <c r="B222" s="168"/>
      <c r="C222" s="166"/>
      <c r="D222" s="166"/>
      <c r="E222" s="166"/>
      <c r="F222" s="166"/>
      <c r="G222" s="166"/>
      <c r="H222" s="166"/>
      <c r="I222" s="166"/>
      <c r="J222" s="166"/>
      <c r="K222" s="166"/>
      <c r="L222" s="166"/>
      <c r="M222" s="22">
        <f t="shared" si="117"/>
        <v>0</v>
      </c>
      <c r="N222" s="24">
        <f>'D5-CFlow'!I23</f>
        <v>0</v>
      </c>
      <c r="O222" s="23">
        <f>'D5-CFlow'!J23</f>
        <v>0</v>
      </c>
      <c r="P222" s="83">
        <f>'D5-CFlow'!K23</f>
        <v>0</v>
      </c>
    </row>
    <row r="223" spans="1:16" x14ac:dyDescent="0.25">
      <c r="A223" s="20" t="s">
        <v>332</v>
      </c>
      <c r="B223" s="168"/>
      <c r="C223" s="166"/>
      <c r="D223" s="166"/>
      <c r="E223" s="166"/>
      <c r="F223" s="166"/>
      <c r="G223" s="166"/>
      <c r="H223" s="166"/>
      <c r="I223" s="166"/>
      <c r="J223" s="166"/>
      <c r="K223" s="166"/>
      <c r="L223" s="166"/>
      <c r="M223" s="22">
        <f t="shared" si="117"/>
        <v>0</v>
      </c>
      <c r="N223" s="24">
        <f>'D5-CFlow'!I24</f>
        <v>0</v>
      </c>
      <c r="O223" s="23">
        <f>'D5-CFlow'!J24</f>
        <v>0</v>
      </c>
      <c r="P223" s="83">
        <f>'D5-CFlow'!K24</f>
        <v>0</v>
      </c>
    </row>
    <row r="224" spans="1:16" x14ac:dyDescent="0.25">
      <c r="A224" s="20" t="s">
        <v>333</v>
      </c>
      <c r="B224" s="168"/>
      <c r="C224" s="166"/>
      <c r="D224" s="166"/>
      <c r="E224" s="166"/>
      <c r="F224" s="166"/>
      <c r="G224" s="166"/>
      <c r="H224" s="166"/>
      <c r="I224" s="166"/>
      <c r="J224" s="166"/>
      <c r="K224" s="166"/>
      <c r="L224" s="166"/>
      <c r="M224" s="22">
        <f t="shared" si="117"/>
        <v>0</v>
      </c>
      <c r="N224" s="24">
        <f>'D5-CFlow'!I25</f>
        <v>0</v>
      </c>
      <c r="O224" s="23">
        <f>'D5-CFlow'!J25</f>
        <v>0</v>
      </c>
      <c r="P224" s="83">
        <f>'D5-CFlow'!K25</f>
        <v>0</v>
      </c>
    </row>
    <row r="225" spans="1:16" x14ac:dyDescent="0.25">
      <c r="A225" s="45" t="s">
        <v>341</v>
      </c>
      <c r="B225" s="24"/>
      <c r="C225" s="23"/>
      <c r="D225" s="23"/>
      <c r="E225" s="23"/>
      <c r="F225" s="23"/>
      <c r="G225" s="23"/>
      <c r="H225" s="23"/>
      <c r="I225" s="23"/>
      <c r="J225" s="23"/>
      <c r="K225" s="23"/>
      <c r="L225" s="23"/>
      <c r="M225" s="22"/>
      <c r="N225" s="24"/>
      <c r="O225" s="23"/>
      <c r="P225" s="83"/>
    </row>
    <row r="226" spans="1:16" x14ac:dyDescent="0.25">
      <c r="A226" s="20" t="s">
        <v>208</v>
      </c>
      <c r="B226" s="168">
        <v>-18750</v>
      </c>
      <c r="C226" s="168">
        <v>-18750</v>
      </c>
      <c r="D226" s="168">
        <v>-18750</v>
      </c>
      <c r="E226" s="168">
        <v>-18750</v>
      </c>
      <c r="F226" s="168">
        <v>-18750</v>
      </c>
      <c r="G226" s="168">
        <v>-18750</v>
      </c>
      <c r="H226" s="168">
        <v>-18750</v>
      </c>
      <c r="I226" s="168">
        <v>-18750</v>
      </c>
      <c r="J226" s="168">
        <v>-18750</v>
      </c>
      <c r="K226" s="168">
        <v>-18750</v>
      </c>
      <c r="L226" s="168">
        <v>-18750</v>
      </c>
      <c r="M226" s="22">
        <f t="shared" si="117"/>
        <v>-18750</v>
      </c>
      <c r="N226" s="24">
        <f>'D5-CFlow'!I27</f>
        <v>-225000</v>
      </c>
      <c r="O226" s="23">
        <f>'D5-CFlow'!J27</f>
        <v>-236250</v>
      </c>
      <c r="P226" s="83">
        <f>'D5-CFlow'!K27</f>
        <v>-248062.5</v>
      </c>
    </row>
    <row r="227" spans="1:16" x14ac:dyDescent="0.25">
      <c r="A227" s="47" t="s">
        <v>335</v>
      </c>
      <c r="B227" s="39">
        <f t="shared" ref="B227:L227" si="119">SUM(B221:B224)+B226</f>
        <v>-18750</v>
      </c>
      <c r="C227" s="38">
        <f t="shared" si="119"/>
        <v>-18750</v>
      </c>
      <c r="D227" s="38">
        <f t="shared" si="119"/>
        <v>-18750</v>
      </c>
      <c r="E227" s="38">
        <f t="shared" si="119"/>
        <v>-18750</v>
      </c>
      <c r="F227" s="38">
        <f t="shared" si="119"/>
        <v>-18750</v>
      </c>
      <c r="G227" s="38">
        <f t="shared" si="119"/>
        <v>-18750</v>
      </c>
      <c r="H227" s="38">
        <f t="shared" si="119"/>
        <v>-18750</v>
      </c>
      <c r="I227" s="38">
        <f t="shared" si="119"/>
        <v>-18750</v>
      </c>
      <c r="J227" s="38">
        <f t="shared" si="119"/>
        <v>-18750</v>
      </c>
      <c r="K227" s="38">
        <f t="shared" si="119"/>
        <v>-18750</v>
      </c>
      <c r="L227" s="38">
        <f t="shared" si="119"/>
        <v>-18750</v>
      </c>
      <c r="M227" s="143">
        <f t="shared" si="117"/>
        <v>-18750</v>
      </c>
      <c r="N227" s="122">
        <f>'D5-CFlow'!I28</f>
        <v>-225000</v>
      </c>
      <c r="O227" s="87">
        <f>'D5-CFlow'!J28</f>
        <v>-236250</v>
      </c>
      <c r="P227" s="114">
        <f>'D5-CFlow'!K28</f>
        <v>-248062.5</v>
      </c>
    </row>
    <row r="228" spans="1:16" x14ac:dyDescent="0.25">
      <c r="A228" s="21"/>
      <c r="B228" s="24"/>
      <c r="C228" s="23"/>
      <c r="D228" s="23"/>
      <c r="E228" s="23"/>
      <c r="F228" s="23"/>
      <c r="G228" s="23"/>
      <c r="H228" s="23"/>
      <c r="I228" s="23"/>
      <c r="J228" s="23"/>
      <c r="K228" s="23"/>
      <c r="L228" s="23"/>
      <c r="M228" s="22"/>
      <c r="N228" s="24"/>
      <c r="O228" s="23"/>
      <c r="P228" s="83"/>
    </row>
    <row r="229" spans="1:16" x14ac:dyDescent="0.25">
      <c r="A229" s="45" t="s">
        <v>242</v>
      </c>
      <c r="B229" s="24"/>
      <c r="C229" s="23"/>
      <c r="D229" s="23"/>
      <c r="E229" s="23"/>
      <c r="F229" s="23"/>
      <c r="G229" s="23"/>
      <c r="H229" s="23"/>
      <c r="I229" s="23"/>
      <c r="J229" s="23"/>
      <c r="K229" s="23"/>
      <c r="L229" s="23"/>
      <c r="M229" s="22"/>
      <c r="N229" s="24"/>
      <c r="O229" s="23"/>
      <c r="P229" s="83"/>
    </row>
    <row r="230" spans="1:16" x14ac:dyDescent="0.25">
      <c r="A230" s="45" t="s">
        <v>340</v>
      </c>
      <c r="B230" s="24"/>
      <c r="C230" s="23"/>
      <c r="D230" s="23"/>
      <c r="E230" s="23"/>
      <c r="F230" s="23"/>
      <c r="G230" s="23"/>
      <c r="H230" s="23"/>
      <c r="I230" s="23"/>
      <c r="J230" s="23"/>
      <c r="K230" s="23"/>
      <c r="L230" s="23"/>
      <c r="M230" s="22"/>
      <c r="N230" s="24"/>
      <c r="O230" s="23"/>
      <c r="P230" s="83"/>
    </row>
    <row r="231" spans="1:16" x14ac:dyDescent="0.25">
      <c r="A231" s="20" t="s">
        <v>343</v>
      </c>
      <c r="B231" s="168"/>
      <c r="C231" s="166"/>
      <c r="D231" s="166"/>
      <c r="E231" s="166"/>
      <c r="F231" s="166"/>
      <c r="G231" s="166"/>
      <c r="H231" s="166"/>
      <c r="I231" s="166"/>
      <c r="J231" s="166"/>
      <c r="K231" s="166"/>
      <c r="L231" s="166"/>
      <c r="M231" s="22">
        <f t="shared" si="117"/>
        <v>0</v>
      </c>
      <c r="N231" s="24">
        <f>'D5-CFlow'!I32</f>
        <v>0</v>
      </c>
      <c r="O231" s="23">
        <f>'D5-CFlow'!J32</f>
        <v>0</v>
      </c>
      <c r="P231" s="83">
        <f>'D5-CFlow'!K32</f>
        <v>0</v>
      </c>
    </row>
    <row r="232" spans="1:16" x14ac:dyDescent="0.25">
      <c r="A232" s="20" t="s">
        <v>388</v>
      </c>
      <c r="B232" s="168"/>
      <c r="C232" s="166"/>
      <c r="D232" s="166"/>
      <c r="E232" s="166"/>
      <c r="F232" s="166"/>
      <c r="G232" s="166"/>
      <c r="H232" s="166"/>
      <c r="I232" s="166"/>
      <c r="J232" s="166"/>
      <c r="K232" s="166"/>
      <c r="L232" s="166"/>
      <c r="M232" s="22">
        <f t="shared" si="117"/>
        <v>0</v>
      </c>
      <c r="N232" s="24">
        <f>'D5-CFlow'!I33</f>
        <v>0</v>
      </c>
      <c r="O232" s="23">
        <f>'D5-CFlow'!J33</f>
        <v>0</v>
      </c>
      <c r="P232" s="83">
        <f>'D5-CFlow'!K33</f>
        <v>0</v>
      </c>
    </row>
    <row r="233" spans="1:16" x14ac:dyDescent="0.25">
      <c r="A233" s="20" t="s">
        <v>772</v>
      </c>
      <c r="B233" s="168"/>
      <c r="C233" s="166"/>
      <c r="D233" s="166"/>
      <c r="E233" s="166"/>
      <c r="F233" s="166"/>
      <c r="G233" s="166"/>
      <c r="H233" s="166"/>
      <c r="I233" s="166"/>
      <c r="J233" s="166"/>
      <c r="K233" s="166"/>
      <c r="L233" s="166"/>
      <c r="M233" s="22">
        <f t="shared" si="117"/>
        <v>0</v>
      </c>
      <c r="N233" s="24">
        <f>'D5-CFlow'!I34</f>
        <v>0</v>
      </c>
      <c r="O233" s="23">
        <f>'D5-CFlow'!J34</f>
        <v>0</v>
      </c>
      <c r="P233" s="83">
        <f>'D5-CFlow'!K34</f>
        <v>0</v>
      </c>
    </row>
    <row r="234" spans="1:16" x14ac:dyDescent="0.25">
      <c r="A234" s="45" t="s">
        <v>341</v>
      </c>
      <c r="B234" s="24"/>
      <c r="C234" s="23"/>
      <c r="D234" s="23"/>
      <c r="E234" s="23"/>
      <c r="F234" s="23"/>
      <c r="G234" s="23"/>
      <c r="H234" s="23"/>
      <c r="I234" s="23"/>
      <c r="J234" s="23"/>
      <c r="K234" s="23"/>
      <c r="L234" s="23"/>
      <c r="M234" s="22"/>
      <c r="N234" s="24"/>
      <c r="O234" s="23"/>
      <c r="P234" s="83"/>
    </row>
    <row r="235" spans="1:16" x14ac:dyDescent="0.25">
      <c r="A235" s="20" t="s">
        <v>342</v>
      </c>
      <c r="B235" s="168">
        <v>-166.67</v>
      </c>
      <c r="C235" s="168">
        <v>-166.67</v>
      </c>
      <c r="D235" s="168">
        <v>-166.67</v>
      </c>
      <c r="E235" s="168">
        <v>-166.67</v>
      </c>
      <c r="F235" s="168">
        <v>-166.67</v>
      </c>
      <c r="G235" s="168">
        <v>-166.67</v>
      </c>
      <c r="H235" s="168">
        <v>-166.67</v>
      </c>
      <c r="I235" s="168">
        <v>-166.67</v>
      </c>
      <c r="J235" s="168">
        <v>-166.67</v>
      </c>
      <c r="K235" s="168">
        <v>-166.67</v>
      </c>
      <c r="L235" s="168">
        <v>-166.67</v>
      </c>
      <c r="M235" s="22">
        <f t="shared" si="117"/>
        <v>-166.62999999999988</v>
      </c>
      <c r="N235" s="24">
        <f>'D5-CFlow'!I36</f>
        <v>-2000</v>
      </c>
      <c r="O235" s="23">
        <f>'D5-CFlow'!J36</f>
        <v>1000</v>
      </c>
      <c r="P235" s="83">
        <f>'D5-CFlow'!K36</f>
        <v>500</v>
      </c>
    </row>
    <row r="236" spans="1:16" x14ac:dyDescent="0.25">
      <c r="A236" s="47" t="s">
        <v>336</v>
      </c>
      <c r="B236" s="39">
        <f t="shared" ref="B236:L236" si="120">SUM(B230:B233)+B235</f>
        <v>-166.67</v>
      </c>
      <c r="C236" s="38">
        <f t="shared" si="120"/>
        <v>-166.67</v>
      </c>
      <c r="D236" s="38">
        <f t="shared" si="120"/>
        <v>-166.67</v>
      </c>
      <c r="E236" s="38">
        <f t="shared" si="120"/>
        <v>-166.67</v>
      </c>
      <c r="F236" s="38">
        <f t="shared" si="120"/>
        <v>-166.67</v>
      </c>
      <c r="G236" s="38">
        <f t="shared" si="120"/>
        <v>-166.67</v>
      </c>
      <c r="H236" s="38">
        <f t="shared" si="120"/>
        <v>-166.67</v>
      </c>
      <c r="I236" s="38">
        <f t="shared" si="120"/>
        <v>-166.67</v>
      </c>
      <c r="J236" s="38">
        <f t="shared" si="120"/>
        <v>-166.67</v>
      </c>
      <c r="K236" s="38">
        <f t="shared" si="120"/>
        <v>-166.67</v>
      </c>
      <c r="L236" s="38">
        <f t="shared" si="120"/>
        <v>-166.67</v>
      </c>
      <c r="M236" s="143">
        <f t="shared" si="117"/>
        <v>-166.62999999999988</v>
      </c>
      <c r="N236" s="122">
        <f>'D5-CFlow'!I37</f>
        <v>-2000</v>
      </c>
      <c r="O236" s="87">
        <f>'D5-CFlow'!J37</f>
        <v>1000</v>
      </c>
      <c r="P236" s="114">
        <f>'D5-CFlow'!K37</f>
        <v>500</v>
      </c>
    </row>
    <row r="237" spans="1:16" x14ac:dyDescent="0.25">
      <c r="A237" s="21"/>
      <c r="B237" s="24"/>
      <c r="C237" s="23"/>
      <c r="D237" s="23"/>
      <c r="E237" s="23"/>
      <c r="F237" s="23"/>
      <c r="G237" s="23"/>
      <c r="H237" s="23"/>
      <c r="I237" s="23"/>
      <c r="J237" s="23"/>
      <c r="K237" s="23"/>
      <c r="L237" s="23"/>
      <c r="M237" s="22"/>
      <c r="N237" s="24"/>
      <c r="O237" s="23"/>
      <c r="P237" s="83"/>
    </row>
    <row r="238" spans="1:16" x14ac:dyDescent="0.25">
      <c r="A238" s="236" t="s">
        <v>344</v>
      </c>
      <c r="B238" s="308">
        <f t="shared" ref="B238:L238" si="121">B217+B227+B236</f>
        <v>-166.67999999977647</v>
      </c>
      <c r="C238" s="309">
        <f t="shared" si="121"/>
        <v>-166.67999999977647</v>
      </c>
      <c r="D238" s="309">
        <f t="shared" si="121"/>
        <v>-166.67999999977647</v>
      </c>
      <c r="E238" s="309">
        <f t="shared" si="121"/>
        <v>-166.67999999977647</v>
      </c>
      <c r="F238" s="309">
        <f t="shared" si="121"/>
        <v>-166.67999999977647</v>
      </c>
      <c r="G238" s="309">
        <f t="shared" si="121"/>
        <v>-166.67999999977647</v>
      </c>
      <c r="H238" s="309">
        <f t="shared" si="121"/>
        <v>-166.67999999977647</v>
      </c>
      <c r="I238" s="309">
        <f t="shared" si="121"/>
        <v>-166.67999999977647</v>
      </c>
      <c r="J238" s="309">
        <f t="shared" si="121"/>
        <v>-166.67999999977647</v>
      </c>
      <c r="K238" s="309">
        <f t="shared" si="121"/>
        <v>-166.67999999977647</v>
      </c>
      <c r="L238" s="309">
        <f t="shared" si="121"/>
        <v>-166.67999999977647</v>
      </c>
      <c r="M238" s="22">
        <f t="shared" si="117"/>
        <v>-166.52000000245857</v>
      </c>
      <c r="N238" s="24">
        <f>'D5-CFlow'!I39</f>
        <v>-2000</v>
      </c>
      <c r="O238" s="23">
        <f>'D5-CFlow'!J39</f>
        <v>1000</v>
      </c>
      <c r="P238" s="83">
        <f>'D5-CFlow'!K39</f>
        <v>500</v>
      </c>
    </row>
    <row r="239" spans="1:16" x14ac:dyDescent="0.25">
      <c r="A239" s="20" t="s">
        <v>313</v>
      </c>
      <c r="B239" s="172">
        <v>1000</v>
      </c>
      <c r="C239" s="445">
        <f t="shared" ref="C239:L239" si="122">B240</f>
        <v>833.32000000022356</v>
      </c>
      <c r="D239" s="445">
        <f t="shared" si="122"/>
        <v>666.64000000044712</v>
      </c>
      <c r="E239" s="445">
        <f t="shared" si="122"/>
        <v>499.96000000067068</v>
      </c>
      <c r="F239" s="445">
        <f t="shared" si="122"/>
        <v>333.28000000089423</v>
      </c>
      <c r="G239" s="445">
        <f t="shared" si="122"/>
        <v>166.60000000111776</v>
      </c>
      <c r="H239" s="445">
        <f t="shared" si="122"/>
        <v>-7.9999998658706772E-2</v>
      </c>
      <c r="I239" s="445">
        <f t="shared" si="122"/>
        <v>-166.75999999843518</v>
      </c>
      <c r="J239" s="445">
        <f t="shared" si="122"/>
        <v>-333.43999999821165</v>
      </c>
      <c r="K239" s="445">
        <f t="shared" si="122"/>
        <v>-500.11999999798809</v>
      </c>
      <c r="L239" s="445">
        <f t="shared" si="122"/>
        <v>-666.79999999776453</v>
      </c>
      <c r="M239" s="317">
        <f t="shared" si="117"/>
        <v>12167.399999987705</v>
      </c>
      <c r="N239" s="49">
        <f>'D5-CFlow'!I40</f>
        <v>14000</v>
      </c>
      <c r="O239" s="48">
        <f>'D5-CFlow'!J40</f>
        <v>12000</v>
      </c>
      <c r="P239" s="100">
        <f>'D5-CFlow'!K40</f>
        <v>13000</v>
      </c>
    </row>
    <row r="240" spans="1:16" x14ac:dyDescent="0.25">
      <c r="A240" s="215" t="s">
        <v>271</v>
      </c>
      <c r="B240" s="156">
        <f t="shared" ref="B240:L240" si="123">B238+B239</f>
        <v>833.32000000022356</v>
      </c>
      <c r="C240" s="157">
        <f t="shared" si="123"/>
        <v>666.64000000044712</v>
      </c>
      <c r="D240" s="157">
        <f t="shared" si="123"/>
        <v>499.96000000067068</v>
      </c>
      <c r="E240" s="157">
        <f t="shared" si="123"/>
        <v>333.28000000089423</v>
      </c>
      <c r="F240" s="157">
        <f t="shared" si="123"/>
        <v>166.60000000111776</v>
      </c>
      <c r="G240" s="157">
        <f t="shared" si="123"/>
        <v>-7.9999998658706772E-2</v>
      </c>
      <c r="H240" s="157">
        <f t="shared" si="123"/>
        <v>-166.75999999843518</v>
      </c>
      <c r="I240" s="157">
        <f t="shared" si="123"/>
        <v>-333.43999999821165</v>
      </c>
      <c r="J240" s="157">
        <f t="shared" si="123"/>
        <v>-500.11999999798809</v>
      </c>
      <c r="K240" s="157">
        <f t="shared" si="123"/>
        <v>-666.79999999776453</v>
      </c>
      <c r="L240" s="157">
        <f t="shared" si="123"/>
        <v>-833.47999999754097</v>
      </c>
      <c r="M240" s="446">
        <f t="shared" si="117"/>
        <v>12000.879999985245</v>
      </c>
      <c r="N240" s="55">
        <f>'D5-CFlow'!I41</f>
        <v>12000</v>
      </c>
      <c r="O240" s="54">
        <f>'D5-CFlow'!J41</f>
        <v>13000</v>
      </c>
      <c r="P240" s="98">
        <f>'D5-CFlow'!K41</f>
        <v>13500</v>
      </c>
    </row>
  </sheetData>
  <sheetProtection sheet="1" objects="1" scenarios="1"/>
  <mergeCells count="4">
    <mergeCell ref="A2:A3"/>
    <mergeCell ref="N3:N4"/>
    <mergeCell ref="O3:O4"/>
    <mergeCell ref="P3:P4"/>
  </mergeCells>
  <phoneticPr fontId="2" type="noConversion"/>
  <printOptions horizontalCentered="1"/>
  <pageMargins left="0.37" right="0.17" top="0.79" bottom="0.62" header="0.51181102362204722" footer="0.41"/>
  <pageSetup paperSize="9" scale="82"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7">
    <tabColor rgb="FFCCFFCC"/>
    <pageSetUpPr fitToPage="1"/>
  </sheetPr>
  <dimension ref="A1:L205"/>
  <sheetViews>
    <sheetView showGridLines="0" zoomScaleNormal="100" workbookViewId="0">
      <pane xSplit="2" ySplit="3" topLeftCell="C107" activePane="bottomRight" state="frozen"/>
      <selection activeCell="A23" sqref="A23"/>
      <selection pane="topRight" activeCell="A23" sqref="A23"/>
      <selection pane="bottomLeft" activeCell="A23" sqref="A23"/>
      <selection pane="bottomRight" activeCell="J122" sqref="J122"/>
    </sheetView>
  </sheetViews>
  <sheetFormatPr defaultColWidth="9.140625" defaultRowHeight="12.75" x14ac:dyDescent="0.25"/>
  <cols>
    <col min="1" max="1" width="35.7109375" style="17" customWidth="1"/>
    <col min="2" max="2" width="3.140625" style="32" customWidth="1"/>
    <col min="3" max="11" width="8.7109375" style="17" customWidth="1"/>
    <col min="12" max="12" width="9.85546875" style="17" customWidth="1"/>
    <col min="13" max="13" width="9.5703125" style="17" customWidth="1"/>
    <col min="14" max="14" width="9.85546875" style="17" customWidth="1"/>
    <col min="15" max="17" width="9.5703125" style="17" customWidth="1"/>
    <col min="18" max="18" width="9.85546875" style="17" customWidth="1"/>
    <col min="19" max="21" width="9.5703125" style="17" customWidth="1"/>
    <col min="22" max="23" width="9.85546875" style="17" customWidth="1"/>
    <col min="24" max="16384" width="9.140625" style="17"/>
  </cols>
  <sheetData>
    <row r="1" spans="1:12" ht="13.5" x14ac:dyDescent="0.25">
      <c r="A1" s="88" t="str">
        <f>MEB9a</f>
        <v>Harry Gwala Development Agency (Pty) Ltd - Supporting Table SD7a Capital expenditure on new assets by asset class</v>
      </c>
    </row>
    <row r="2" spans="1:12" ht="25.5" x14ac:dyDescent="0.25">
      <c r="A2" s="343" t="str">
        <f>desc</f>
        <v>Description</v>
      </c>
      <c r="B2" s="344" t="str">
        <f>head27</f>
        <v>Ref</v>
      </c>
      <c r="C2" s="85" t="str">
        <f>head1b</f>
        <v>2015/16</v>
      </c>
      <c r="D2" s="18" t="str">
        <f>head1A</f>
        <v>2016/17</v>
      </c>
      <c r="E2" s="80" t="str">
        <f>Head1</f>
        <v>2017/18</v>
      </c>
      <c r="F2" s="106" t="str">
        <f>Head2</f>
        <v>Current Year 2018/19</v>
      </c>
      <c r="G2" s="104"/>
      <c r="H2" s="105"/>
      <c r="I2" s="106" t="str">
        <f>Head3a</f>
        <v>Medium Term Revenue and Expenditure Framework</v>
      </c>
      <c r="J2" s="104"/>
      <c r="K2" s="105"/>
    </row>
    <row r="3" spans="1:12" ht="38.25" x14ac:dyDescent="0.25">
      <c r="A3" s="306" t="s">
        <v>826</v>
      </c>
      <c r="B3" s="251">
        <v>1</v>
      </c>
      <c r="C3" s="252" t="str">
        <f>Head5</f>
        <v>Audited Outcome</v>
      </c>
      <c r="D3" s="253" t="str">
        <f>Head5</f>
        <v>Audited Outcome</v>
      </c>
      <c r="E3" s="254" t="str">
        <f>Head5</f>
        <v>Audited Outcome</v>
      </c>
      <c r="F3" s="341" t="str">
        <f>Head6</f>
        <v>Original Budget</v>
      </c>
      <c r="G3" s="252" t="str">
        <f>Head7</f>
        <v>Adjusted Budget</v>
      </c>
      <c r="H3" s="342" t="str">
        <f>Head8</f>
        <v>Full Year Forecast</v>
      </c>
      <c r="I3" s="341" t="str">
        <f>Head9</f>
        <v>Budget Year 2019/20</v>
      </c>
      <c r="J3" s="252" t="str">
        <f>Head10</f>
        <v>Budget Year +1 2020/21</v>
      </c>
      <c r="K3" s="254" t="str">
        <f>Head11</f>
        <v>Budget Year +2 2021/22</v>
      </c>
    </row>
    <row r="4" spans="1:12" ht="12.75" customHeight="1" x14ac:dyDescent="0.25">
      <c r="A4" s="19" t="s">
        <v>827</v>
      </c>
      <c r="B4" s="345"/>
      <c r="C4" s="24"/>
      <c r="D4" s="23"/>
      <c r="E4" s="83"/>
      <c r="F4" s="24"/>
      <c r="G4" s="23"/>
      <c r="H4" s="83"/>
      <c r="I4" s="24"/>
      <c r="J4" s="23"/>
      <c r="K4" s="83"/>
    </row>
    <row r="5" spans="1:12" ht="5.0999999999999996" customHeight="1" x14ac:dyDescent="0.25">
      <c r="A5" s="19"/>
      <c r="B5" s="345"/>
      <c r="C5" s="24"/>
      <c r="D5" s="23"/>
      <c r="E5" s="83"/>
      <c r="F5" s="24"/>
      <c r="G5" s="23"/>
      <c r="H5" s="83"/>
      <c r="I5" s="24"/>
      <c r="J5" s="23"/>
      <c r="K5" s="83"/>
    </row>
    <row r="6" spans="1:12" ht="13.15" customHeight="1" x14ac:dyDescent="0.25">
      <c r="A6" s="19" t="s">
        <v>162</v>
      </c>
      <c r="B6" s="237"/>
      <c r="C6" s="26">
        <f>C7+C12+C16+C26+C37+C44+C52+C62+C68</f>
        <v>0</v>
      </c>
      <c r="D6" s="26">
        <f t="shared" ref="D6:K6" si="0">D7+D12+D16+D26+D37+D44+D52+D62+D68</f>
        <v>0</v>
      </c>
      <c r="E6" s="233">
        <f t="shared" si="0"/>
        <v>0</v>
      </c>
      <c r="F6" s="232">
        <f t="shared" si="0"/>
        <v>0</v>
      </c>
      <c r="G6" s="26">
        <f t="shared" si="0"/>
        <v>0</v>
      </c>
      <c r="H6" s="25">
        <f t="shared" si="0"/>
        <v>0</v>
      </c>
      <c r="I6" s="232">
        <f t="shared" si="0"/>
        <v>0</v>
      </c>
      <c r="J6" s="26">
        <f t="shared" si="0"/>
        <v>0</v>
      </c>
      <c r="K6" s="233">
        <f t="shared" si="0"/>
        <v>0</v>
      </c>
    </row>
    <row r="7" spans="1:12" s="352" customFormat="1" ht="13.15" customHeight="1" x14ac:dyDescent="0.25">
      <c r="A7" s="20" t="s">
        <v>858</v>
      </c>
      <c r="B7" s="237"/>
      <c r="C7" s="48">
        <f t="shared" ref="C7:K7" si="1">SUM(C8:C11)</f>
        <v>0</v>
      </c>
      <c r="D7" s="48">
        <f t="shared" si="1"/>
        <v>0</v>
      </c>
      <c r="E7" s="317">
        <f t="shared" si="1"/>
        <v>0</v>
      </c>
      <c r="F7" s="49">
        <f t="shared" si="1"/>
        <v>0</v>
      </c>
      <c r="G7" s="48">
        <f t="shared" si="1"/>
        <v>0</v>
      </c>
      <c r="H7" s="100">
        <f t="shared" si="1"/>
        <v>0</v>
      </c>
      <c r="I7" s="49">
        <f t="shared" si="1"/>
        <v>0</v>
      </c>
      <c r="J7" s="48">
        <f t="shared" si="1"/>
        <v>0</v>
      </c>
      <c r="K7" s="100">
        <f t="shared" si="1"/>
        <v>0</v>
      </c>
      <c r="L7" s="17"/>
    </row>
    <row r="8" spans="1:12" s="352" customFormat="1" ht="13.15" customHeight="1" x14ac:dyDescent="0.25">
      <c r="A8" s="238" t="s">
        <v>510</v>
      </c>
      <c r="B8" s="237"/>
      <c r="C8" s="354"/>
      <c r="D8" s="354"/>
      <c r="E8" s="355"/>
      <c r="F8" s="356"/>
      <c r="G8" s="354"/>
      <c r="H8" s="357"/>
      <c r="I8" s="356"/>
      <c r="J8" s="354"/>
      <c r="K8" s="355"/>
      <c r="L8" s="17"/>
    </row>
    <row r="9" spans="1:12" s="352" customFormat="1" ht="13.15" customHeight="1" x14ac:dyDescent="0.25">
      <c r="A9" s="238" t="s">
        <v>859</v>
      </c>
      <c r="B9" s="237"/>
      <c r="C9" s="354"/>
      <c r="D9" s="354"/>
      <c r="E9" s="355"/>
      <c r="F9" s="356"/>
      <c r="G9" s="354"/>
      <c r="H9" s="357"/>
      <c r="I9" s="356"/>
      <c r="J9" s="354"/>
      <c r="K9" s="355"/>
      <c r="L9" s="358"/>
    </row>
    <row r="10" spans="1:12" s="352" customFormat="1" ht="13.15" customHeight="1" x14ac:dyDescent="0.25">
      <c r="A10" s="238" t="s">
        <v>860</v>
      </c>
      <c r="B10" s="237"/>
      <c r="C10" s="354"/>
      <c r="D10" s="354"/>
      <c r="E10" s="355"/>
      <c r="F10" s="356"/>
      <c r="G10" s="354"/>
      <c r="H10" s="357"/>
      <c r="I10" s="356"/>
      <c r="J10" s="354"/>
      <c r="K10" s="355"/>
      <c r="L10" s="358"/>
    </row>
    <row r="11" spans="1:12" s="352" customFormat="1" ht="13.15" customHeight="1" x14ac:dyDescent="0.25">
      <c r="A11" s="238" t="s">
        <v>861</v>
      </c>
      <c r="B11" s="237"/>
      <c r="C11" s="354"/>
      <c r="D11" s="354"/>
      <c r="E11" s="355"/>
      <c r="F11" s="356"/>
      <c r="G11" s="354"/>
      <c r="H11" s="357"/>
      <c r="I11" s="356"/>
      <c r="J11" s="354"/>
      <c r="K11" s="355"/>
      <c r="L11" s="358"/>
    </row>
    <row r="12" spans="1:12" s="352" customFormat="1" ht="13.15" customHeight="1" x14ac:dyDescent="0.25">
      <c r="A12" s="20" t="s">
        <v>862</v>
      </c>
      <c r="B12" s="237"/>
      <c r="C12" s="23">
        <f>SUM(C13:C15)</f>
        <v>0</v>
      </c>
      <c r="D12" s="23">
        <f t="shared" ref="D12:K12" si="2">SUM(D13:D15)</f>
        <v>0</v>
      </c>
      <c r="E12" s="50">
        <f t="shared" si="2"/>
        <v>0</v>
      </c>
      <c r="F12" s="24">
        <f t="shared" si="2"/>
        <v>0</v>
      </c>
      <c r="G12" s="23">
        <f t="shared" si="2"/>
        <v>0</v>
      </c>
      <c r="H12" s="83">
        <f t="shared" si="2"/>
        <v>0</v>
      </c>
      <c r="I12" s="319">
        <f t="shared" si="2"/>
        <v>0</v>
      </c>
      <c r="J12" s="23">
        <f t="shared" si="2"/>
        <v>0</v>
      </c>
      <c r="K12" s="83">
        <f t="shared" si="2"/>
        <v>0</v>
      </c>
      <c r="L12" s="358"/>
    </row>
    <row r="13" spans="1:12" s="352" customFormat="1" ht="13.15" customHeight="1" x14ac:dyDescent="0.25">
      <c r="A13" s="238" t="s">
        <v>863</v>
      </c>
      <c r="B13" s="237"/>
      <c r="C13" s="354"/>
      <c r="D13" s="354"/>
      <c r="E13" s="359"/>
      <c r="F13" s="360"/>
      <c r="G13" s="354"/>
      <c r="H13" s="361"/>
      <c r="I13" s="362"/>
      <c r="J13" s="354"/>
      <c r="K13" s="361"/>
      <c r="L13" s="358"/>
    </row>
    <row r="14" spans="1:12" s="352" customFormat="1" ht="13.15" customHeight="1" x14ac:dyDescent="0.25">
      <c r="A14" s="238" t="s">
        <v>864</v>
      </c>
      <c r="B14" s="237"/>
      <c r="C14" s="354"/>
      <c r="D14" s="354"/>
      <c r="E14" s="359"/>
      <c r="F14" s="360"/>
      <c r="G14" s="354"/>
      <c r="H14" s="361"/>
      <c r="I14" s="362"/>
      <c r="J14" s="354"/>
      <c r="K14" s="361"/>
      <c r="L14" s="358"/>
    </row>
    <row r="15" spans="1:12" s="352" customFormat="1" ht="13.15" customHeight="1" x14ac:dyDescent="0.25">
      <c r="A15" s="238" t="s">
        <v>865</v>
      </c>
      <c r="B15" s="237"/>
      <c r="C15" s="354"/>
      <c r="D15" s="354"/>
      <c r="E15" s="359"/>
      <c r="F15" s="360"/>
      <c r="G15" s="354"/>
      <c r="H15" s="361"/>
      <c r="I15" s="362"/>
      <c r="J15" s="354"/>
      <c r="K15" s="361"/>
      <c r="L15" s="358"/>
    </row>
    <row r="16" spans="1:12" s="352" customFormat="1" ht="13.15" customHeight="1" x14ac:dyDescent="0.25">
      <c r="A16" s="20" t="s">
        <v>866</v>
      </c>
      <c r="B16" s="237"/>
      <c r="C16" s="23">
        <f t="shared" ref="C16:K16" si="3">SUM(C17:C25)</f>
        <v>0</v>
      </c>
      <c r="D16" s="23">
        <f t="shared" si="3"/>
        <v>0</v>
      </c>
      <c r="E16" s="50">
        <f t="shared" si="3"/>
        <v>0</v>
      </c>
      <c r="F16" s="24">
        <f t="shared" si="3"/>
        <v>0</v>
      </c>
      <c r="G16" s="23">
        <f t="shared" si="3"/>
        <v>0</v>
      </c>
      <c r="H16" s="83">
        <f t="shared" si="3"/>
        <v>0</v>
      </c>
      <c r="I16" s="319">
        <f t="shared" si="3"/>
        <v>0</v>
      </c>
      <c r="J16" s="23">
        <f t="shared" si="3"/>
        <v>0</v>
      </c>
      <c r="K16" s="83">
        <f t="shared" si="3"/>
        <v>0</v>
      </c>
      <c r="L16" s="358"/>
    </row>
    <row r="17" spans="1:12" s="352" customFormat="1" ht="13.15" customHeight="1" x14ac:dyDescent="0.25">
      <c r="A17" s="238" t="s">
        <v>867</v>
      </c>
      <c r="B17" s="237"/>
      <c r="C17" s="354"/>
      <c r="D17" s="354"/>
      <c r="E17" s="359"/>
      <c r="F17" s="360"/>
      <c r="G17" s="354"/>
      <c r="H17" s="361"/>
      <c r="I17" s="362"/>
      <c r="J17" s="354"/>
      <c r="K17" s="361"/>
      <c r="L17" s="358"/>
    </row>
    <row r="18" spans="1:12" s="352" customFormat="1" ht="13.15" customHeight="1" x14ac:dyDescent="0.25">
      <c r="A18" s="238" t="s">
        <v>868</v>
      </c>
      <c r="B18" s="237"/>
      <c r="C18" s="354"/>
      <c r="D18" s="354"/>
      <c r="E18" s="359"/>
      <c r="F18" s="360"/>
      <c r="G18" s="354"/>
      <c r="H18" s="361"/>
      <c r="I18" s="362"/>
      <c r="J18" s="354"/>
      <c r="K18" s="361"/>
      <c r="L18" s="358"/>
    </row>
    <row r="19" spans="1:12" s="352" customFormat="1" ht="13.15" customHeight="1" x14ac:dyDescent="0.25">
      <c r="A19" s="238" t="s">
        <v>869</v>
      </c>
      <c r="B19" s="237"/>
      <c r="C19" s="354"/>
      <c r="D19" s="354"/>
      <c r="E19" s="359"/>
      <c r="F19" s="360"/>
      <c r="G19" s="354"/>
      <c r="H19" s="361"/>
      <c r="I19" s="362"/>
      <c r="J19" s="354"/>
      <c r="K19" s="361"/>
      <c r="L19" s="358"/>
    </row>
    <row r="20" spans="1:12" s="352" customFormat="1" ht="13.15" customHeight="1" x14ac:dyDescent="0.25">
      <c r="A20" s="238" t="s">
        <v>870</v>
      </c>
      <c r="B20" s="237"/>
      <c r="C20" s="354"/>
      <c r="D20" s="354"/>
      <c r="E20" s="359"/>
      <c r="F20" s="360"/>
      <c r="G20" s="354"/>
      <c r="H20" s="361"/>
      <c r="I20" s="362"/>
      <c r="J20" s="354"/>
      <c r="K20" s="361"/>
      <c r="L20" s="358"/>
    </row>
    <row r="21" spans="1:12" s="352" customFormat="1" ht="13.15" customHeight="1" x14ac:dyDescent="0.25">
      <c r="A21" s="238" t="s">
        <v>871</v>
      </c>
      <c r="B21" s="237"/>
      <c r="C21" s="354"/>
      <c r="D21" s="354"/>
      <c r="E21" s="359"/>
      <c r="F21" s="360"/>
      <c r="G21" s="354"/>
      <c r="H21" s="361"/>
      <c r="I21" s="362"/>
      <c r="J21" s="354"/>
      <c r="K21" s="361"/>
      <c r="L21" s="358"/>
    </row>
    <row r="22" spans="1:12" s="352" customFormat="1" ht="13.15" customHeight="1" x14ac:dyDescent="0.25">
      <c r="A22" s="238" t="s">
        <v>872</v>
      </c>
      <c r="B22" s="237"/>
      <c r="C22" s="354"/>
      <c r="D22" s="354"/>
      <c r="E22" s="359"/>
      <c r="F22" s="360"/>
      <c r="G22" s="354"/>
      <c r="H22" s="361"/>
      <c r="I22" s="362"/>
      <c r="J22" s="354"/>
      <c r="K22" s="361"/>
      <c r="L22" s="17"/>
    </row>
    <row r="23" spans="1:12" s="352" customFormat="1" ht="13.15" customHeight="1" x14ac:dyDescent="0.25">
      <c r="A23" s="238" t="s">
        <v>873</v>
      </c>
      <c r="B23" s="237"/>
      <c r="C23" s="354"/>
      <c r="D23" s="354"/>
      <c r="E23" s="359"/>
      <c r="F23" s="360"/>
      <c r="G23" s="354"/>
      <c r="H23" s="361"/>
      <c r="I23" s="362"/>
      <c r="J23" s="354"/>
      <c r="K23" s="361"/>
      <c r="L23" s="358"/>
    </row>
    <row r="24" spans="1:12" s="352" customFormat="1" ht="13.15" customHeight="1" x14ac:dyDescent="0.25">
      <c r="A24" s="238" t="s">
        <v>874</v>
      </c>
      <c r="B24" s="237"/>
      <c r="C24" s="354"/>
      <c r="D24" s="354"/>
      <c r="E24" s="359"/>
      <c r="F24" s="360"/>
      <c r="G24" s="354"/>
      <c r="H24" s="361"/>
      <c r="I24" s="362"/>
      <c r="J24" s="354"/>
      <c r="K24" s="361"/>
      <c r="L24" s="358"/>
    </row>
    <row r="25" spans="1:12" s="352" customFormat="1" ht="13.15" customHeight="1" x14ac:dyDescent="0.25">
      <c r="A25" s="238" t="s">
        <v>861</v>
      </c>
      <c r="B25" s="237"/>
      <c r="C25" s="354"/>
      <c r="D25" s="354"/>
      <c r="E25" s="359"/>
      <c r="F25" s="360"/>
      <c r="G25" s="354"/>
      <c r="H25" s="361"/>
      <c r="I25" s="362"/>
      <c r="J25" s="354"/>
      <c r="K25" s="361"/>
      <c r="L25" s="358"/>
    </row>
    <row r="26" spans="1:12" ht="13.15" customHeight="1" x14ac:dyDescent="0.25">
      <c r="A26" s="20" t="s">
        <v>875</v>
      </c>
      <c r="B26" s="237"/>
      <c r="C26" s="23">
        <f>SUM(C27:C36)</f>
        <v>0</v>
      </c>
      <c r="D26" s="23">
        <f t="shared" ref="D26:K26" si="4">SUM(D27:D36)</f>
        <v>0</v>
      </c>
      <c r="E26" s="50">
        <f t="shared" si="4"/>
        <v>0</v>
      </c>
      <c r="F26" s="24">
        <f t="shared" si="4"/>
        <v>0</v>
      </c>
      <c r="G26" s="23">
        <f t="shared" si="4"/>
        <v>0</v>
      </c>
      <c r="H26" s="83">
        <f t="shared" si="4"/>
        <v>0</v>
      </c>
      <c r="I26" s="319">
        <f t="shared" si="4"/>
        <v>0</v>
      </c>
      <c r="J26" s="23">
        <f t="shared" si="4"/>
        <v>0</v>
      </c>
      <c r="K26" s="83">
        <f t="shared" si="4"/>
        <v>0</v>
      </c>
    </row>
    <row r="27" spans="1:12" ht="13.15" customHeight="1" x14ac:dyDescent="0.25">
      <c r="A27" s="238" t="s">
        <v>876</v>
      </c>
      <c r="B27" s="237"/>
      <c r="C27" s="354"/>
      <c r="D27" s="354"/>
      <c r="E27" s="359"/>
      <c r="F27" s="360"/>
      <c r="G27" s="354"/>
      <c r="H27" s="361"/>
      <c r="I27" s="362"/>
      <c r="J27" s="354"/>
      <c r="K27" s="361"/>
    </row>
    <row r="28" spans="1:12" ht="13.15" customHeight="1" x14ac:dyDescent="0.25">
      <c r="A28" s="238" t="s">
        <v>877</v>
      </c>
      <c r="B28" s="237"/>
      <c r="C28" s="354"/>
      <c r="D28" s="354"/>
      <c r="E28" s="359"/>
      <c r="F28" s="360"/>
      <c r="G28" s="354"/>
      <c r="H28" s="361"/>
      <c r="I28" s="362"/>
      <c r="J28" s="354"/>
      <c r="K28" s="361"/>
      <c r="L28" s="358"/>
    </row>
    <row r="29" spans="1:12" ht="13.15" customHeight="1" x14ac:dyDescent="0.25">
      <c r="A29" s="238" t="s">
        <v>878</v>
      </c>
      <c r="B29" s="237"/>
      <c r="C29" s="354"/>
      <c r="D29" s="354"/>
      <c r="E29" s="359"/>
      <c r="F29" s="360"/>
      <c r="G29" s="354"/>
      <c r="H29" s="361"/>
      <c r="I29" s="362"/>
      <c r="J29" s="354"/>
      <c r="K29" s="361"/>
      <c r="L29" s="358"/>
    </row>
    <row r="30" spans="1:12" ht="13.15" customHeight="1" x14ac:dyDescent="0.25">
      <c r="A30" s="238" t="s">
        <v>879</v>
      </c>
      <c r="B30" s="237"/>
      <c r="C30" s="354"/>
      <c r="D30" s="354"/>
      <c r="E30" s="359"/>
      <c r="F30" s="360"/>
      <c r="G30" s="354"/>
      <c r="H30" s="361"/>
      <c r="I30" s="362"/>
      <c r="J30" s="354"/>
      <c r="K30" s="361"/>
      <c r="L30" s="358"/>
    </row>
    <row r="31" spans="1:12" ht="13.15" customHeight="1" x14ac:dyDescent="0.25">
      <c r="A31" s="238" t="s">
        <v>880</v>
      </c>
      <c r="B31" s="237"/>
      <c r="C31" s="354"/>
      <c r="D31" s="354"/>
      <c r="E31" s="359"/>
      <c r="F31" s="360"/>
      <c r="G31" s="354"/>
      <c r="H31" s="361"/>
      <c r="I31" s="362"/>
      <c r="J31" s="354"/>
      <c r="K31" s="361"/>
      <c r="L31" s="358"/>
    </row>
    <row r="32" spans="1:12" ht="13.15" customHeight="1" x14ac:dyDescent="0.25">
      <c r="A32" s="238" t="s">
        <v>881</v>
      </c>
      <c r="B32" s="237"/>
      <c r="C32" s="354"/>
      <c r="D32" s="354"/>
      <c r="E32" s="359"/>
      <c r="F32" s="360"/>
      <c r="G32" s="354"/>
      <c r="H32" s="361"/>
      <c r="I32" s="362"/>
      <c r="J32" s="354"/>
      <c r="K32" s="361"/>
      <c r="L32" s="358"/>
    </row>
    <row r="33" spans="1:12" ht="13.15" customHeight="1" x14ac:dyDescent="0.25">
      <c r="A33" s="238" t="s">
        <v>882</v>
      </c>
      <c r="B33" s="237"/>
      <c r="C33" s="354"/>
      <c r="D33" s="354"/>
      <c r="E33" s="359"/>
      <c r="F33" s="360"/>
      <c r="G33" s="354"/>
      <c r="H33" s="361"/>
      <c r="I33" s="362"/>
      <c r="J33" s="354"/>
      <c r="K33" s="361"/>
      <c r="L33" s="358"/>
    </row>
    <row r="34" spans="1:12" ht="13.15" customHeight="1" x14ac:dyDescent="0.25">
      <c r="A34" s="238" t="s">
        <v>883</v>
      </c>
      <c r="B34" s="237"/>
      <c r="C34" s="354"/>
      <c r="D34" s="354"/>
      <c r="E34" s="359"/>
      <c r="F34" s="360"/>
      <c r="G34" s="354"/>
      <c r="H34" s="361"/>
      <c r="I34" s="362"/>
      <c r="J34" s="354"/>
      <c r="K34" s="361"/>
      <c r="L34" s="358"/>
    </row>
    <row r="35" spans="1:12" ht="13.15" customHeight="1" x14ac:dyDescent="0.25">
      <c r="A35" s="238" t="s">
        <v>884</v>
      </c>
      <c r="B35" s="237"/>
      <c r="C35" s="354"/>
      <c r="D35" s="354"/>
      <c r="E35" s="359"/>
      <c r="F35" s="360"/>
      <c r="G35" s="354"/>
      <c r="H35" s="361"/>
      <c r="I35" s="362"/>
      <c r="J35" s="354"/>
      <c r="K35" s="361"/>
      <c r="L35" s="358"/>
    </row>
    <row r="36" spans="1:12" ht="13.15" customHeight="1" x14ac:dyDescent="0.25">
      <c r="A36" s="238" t="s">
        <v>861</v>
      </c>
      <c r="B36" s="237"/>
      <c r="C36" s="354"/>
      <c r="D36" s="354"/>
      <c r="E36" s="359"/>
      <c r="F36" s="360"/>
      <c r="G36" s="354"/>
      <c r="H36" s="361"/>
      <c r="I36" s="362"/>
      <c r="J36" s="354"/>
      <c r="K36" s="361"/>
      <c r="L36" s="358"/>
    </row>
    <row r="37" spans="1:12" ht="13.15" customHeight="1" x14ac:dyDescent="0.25">
      <c r="A37" s="20" t="s">
        <v>885</v>
      </c>
      <c r="B37" s="237"/>
      <c r="C37" s="23">
        <f>SUM(C38:C43)</f>
        <v>0</v>
      </c>
      <c r="D37" s="23">
        <f t="shared" ref="D37:K37" si="5">SUM(D38:D43)</f>
        <v>0</v>
      </c>
      <c r="E37" s="50">
        <f t="shared" si="5"/>
        <v>0</v>
      </c>
      <c r="F37" s="24">
        <f t="shared" si="5"/>
        <v>0</v>
      </c>
      <c r="G37" s="23">
        <f t="shared" si="5"/>
        <v>0</v>
      </c>
      <c r="H37" s="83">
        <f t="shared" si="5"/>
        <v>0</v>
      </c>
      <c r="I37" s="319">
        <f t="shared" si="5"/>
        <v>0</v>
      </c>
      <c r="J37" s="23">
        <f t="shared" si="5"/>
        <v>0</v>
      </c>
      <c r="K37" s="83">
        <f t="shared" si="5"/>
        <v>0</v>
      </c>
      <c r="L37" s="358"/>
    </row>
    <row r="38" spans="1:12" ht="13.15" customHeight="1" x14ac:dyDescent="0.25">
      <c r="A38" s="238" t="s">
        <v>886</v>
      </c>
      <c r="B38" s="237"/>
      <c r="C38" s="354"/>
      <c r="D38" s="354"/>
      <c r="E38" s="359"/>
      <c r="F38" s="360"/>
      <c r="G38" s="354"/>
      <c r="H38" s="361"/>
      <c r="I38" s="362"/>
      <c r="J38" s="354"/>
      <c r="K38" s="361"/>
      <c r="L38" s="358"/>
    </row>
    <row r="39" spans="1:12" ht="13.15" customHeight="1" x14ac:dyDescent="0.25">
      <c r="A39" s="238" t="s">
        <v>500</v>
      </c>
      <c r="B39" s="237"/>
      <c r="C39" s="354"/>
      <c r="D39" s="354"/>
      <c r="E39" s="359"/>
      <c r="F39" s="360"/>
      <c r="G39" s="354"/>
      <c r="H39" s="361"/>
      <c r="I39" s="362"/>
      <c r="J39" s="354"/>
      <c r="K39" s="361"/>
      <c r="L39" s="358"/>
    </row>
    <row r="40" spans="1:12" ht="13.15" customHeight="1" x14ac:dyDescent="0.25">
      <c r="A40" s="238" t="s">
        <v>887</v>
      </c>
      <c r="B40" s="237"/>
      <c r="C40" s="354"/>
      <c r="D40" s="354"/>
      <c r="E40" s="359"/>
      <c r="F40" s="360"/>
      <c r="G40" s="354"/>
      <c r="H40" s="361"/>
      <c r="I40" s="362"/>
      <c r="J40" s="354"/>
      <c r="K40" s="361"/>
    </row>
    <row r="41" spans="1:12" ht="13.15" customHeight="1" x14ac:dyDescent="0.25">
      <c r="A41" s="238" t="s">
        <v>888</v>
      </c>
      <c r="B41" s="237"/>
      <c r="C41" s="354"/>
      <c r="D41" s="354"/>
      <c r="E41" s="359"/>
      <c r="F41" s="360"/>
      <c r="G41" s="354"/>
      <c r="H41" s="361"/>
      <c r="I41" s="362"/>
      <c r="J41" s="354"/>
      <c r="K41" s="361"/>
      <c r="L41" s="358"/>
    </row>
    <row r="42" spans="1:12" ht="13.15" customHeight="1" x14ac:dyDescent="0.25">
      <c r="A42" s="238" t="s">
        <v>889</v>
      </c>
      <c r="B42" s="237"/>
      <c r="C42" s="354"/>
      <c r="D42" s="354"/>
      <c r="E42" s="359"/>
      <c r="F42" s="360"/>
      <c r="G42" s="354"/>
      <c r="H42" s="361"/>
      <c r="I42" s="362"/>
      <c r="J42" s="354"/>
      <c r="K42" s="361"/>
    </row>
    <row r="43" spans="1:12" ht="13.15" customHeight="1" x14ac:dyDescent="0.25">
      <c r="A43" s="238" t="s">
        <v>861</v>
      </c>
      <c r="B43" s="237"/>
      <c r="C43" s="354"/>
      <c r="D43" s="354"/>
      <c r="E43" s="359"/>
      <c r="F43" s="360"/>
      <c r="G43" s="354"/>
      <c r="H43" s="361"/>
      <c r="I43" s="362"/>
      <c r="J43" s="354"/>
      <c r="K43" s="361"/>
    </row>
    <row r="44" spans="1:12" ht="13.15" customHeight="1" x14ac:dyDescent="0.25">
      <c r="A44" s="20" t="s">
        <v>890</v>
      </c>
      <c r="B44" s="237"/>
      <c r="C44" s="23">
        <f>SUM(C45:C51)</f>
        <v>0</v>
      </c>
      <c r="D44" s="23">
        <f t="shared" ref="D44:K44" si="6">SUM(D45:D51)</f>
        <v>0</v>
      </c>
      <c r="E44" s="50">
        <f t="shared" si="6"/>
        <v>0</v>
      </c>
      <c r="F44" s="24">
        <f t="shared" si="6"/>
        <v>0</v>
      </c>
      <c r="G44" s="23">
        <f t="shared" si="6"/>
        <v>0</v>
      </c>
      <c r="H44" s="83">
        <f t="shared" si="6"/>
        <v>0</v>
      </c>
      <c r="I44" s="319">
        <f t="shared" si="6"/>
        <v>0</v>
      </c>
      <c r="J44" s="23">
        <f t="shared" si="6"/>
        <v>0</v>
      </c>
      <c r="K44" s="83">
        <f t="shared" si="6"/>
        <v>0</v>
      </c>
    </row>
    <row r="45" spans="1:12" ht="13.15" customHeight="1" x14ac:dyDescent="0.25">
      <c r="A45" s="238" t="s">
        <v>891</v>
      </c>
      <c r="B45" s="237"/>
      <c r="C45" s="354"/>
      <c r="D45" s="354"/>
      <c r="E45" s="359"/>
      <c r="F45" s="360"/>
      <c r="G45" s="354"/>
      <c r="H45" s="361"/>
      <c r="I45" s="362"/>
      <c r="J45" s="354"/>
      <c r="K45" s="361"/>
    </row>
    <row r="46" spans="1:12" ht="13.15" customHeight="1" x14ac:dyDescent="0.25">
      <c r="A46" s="238" t="s">
        <v>892</v>
      </c>
      <c r="B46" s="237"/>
      <c r="C46" s="354"/>
      <c r="D46" s="354"/>
      <c r="E46" s="359"/>
      <c r="F46" s="360"/>
      <c r="G46" s="354"/>
      <c r="H46" s="361"/>
      <c r="I46" s="362"/>
      <c r="J46" s="354"/>
      <c r="K46" s="361"/>
    </row>
    <row r="47" spans="1:12" ht="13.15" customHeight="1" x14ac:dyDescent="0.25">
      <c r="A47" s="238" t="s">
        <v>893</v>
      </c>
      <c r="B47" s="237"/>
      <c r="C47" s="354"/>
      <c r="D47" s="354"/>
      <c r="E47" s="359"/>
      <c r="F47" s="360"/>
      <c r="G47" s="354"/>
      <c r="H47" s="361"/>
      <c r="I47" s="362"/>
      <c r="J47" s="354"/>
      <c r="K47" s="361"/>
    </row>
    <row r="48" spans="1:12" ht="13.15" customHeight="1" x14ac:dyDescent="0.25">
      <c r="A48" s="238" t="s">
        <v>894</v>
      </c>
      <c r="B48" s="237"/>
      <c r="C48" s="354"/>
      <c r="D48" s="354"/>
      <c r="E48" s="359"/>
      <c r="F48" s="360"/>
      <c r="G48" s="354"/>
      <c r="H48" s="361"/>
      <c r="I48" s="362"/>
      <c r="J48" s="354"/>
      <c r="K48" s="361"/>
      <c r="L48" s="358"/>
    </row>
    <row r="49" spans="1:12" ht="13.15" customHeight="1" x14ac:dyDescent="0.25">
      <c r="A49" s="238" t="s">
        <v>895</v>
      </c>
      <c r="B49" s="237"/>
      <c r="C49" s="354"/>
      <c r="D49" s="354"/>
      <c r="E49" s="359"/>
      <c r="F49" s="360"/>
      <c r="G49" s="354"/>
      <c r="H49" s="361"/>
      <c r="I49" s="362"/>
      <c r="J49" s="354"/>
      <c r="K49" s="361"/>
    </row>
    <row r="50" spans="1:12" ht="13.15" customHeight="1" x14ac:dyDescent="0.25">
      <c r="A50" s="238" t="s">
        <v>896</v>
      </c>
      <c r="B50" s="237"/>
      <c r="C50" s="354"/>
      <c r="D50" s="354"/>
      <c r="E50" s="359"/>
      <c r="F50" s="360"/>
      <c r="G50" s="354"/>
      <c r="H50" s="361"/>
      <c r="I50" s="362"/>
      <c r="J50" s="354"/>
      <c r="K50" s="361"/>
    </row>
    <row r="51" spans="1:12" ht="13.15" customHeight="1" x14ac:dyDescent="0.25">
      <c r="A51" s="238" t="s">
        <v>861</v>
      </c>
      <c r="B51" s="237"/>
      <c r="C51" s="354"/>
      <c r="D51" s="354"/>
      <c r="E51" s="359"/>
      <c r="F51" s="360"/>
      <c r="G51" s="354"/>
      <c r="H51" s="361"/>
      <c r="I51" s="362"/>
      <c r="J51" s="354"/>
      <c r="K51" s="361"/>
    </row>
    <row r="52" spans="1:12" ht="13.15" customHeight="1" x14ac:dyDescent="0.25">
      <c r="A52" s="20" t="s">
        <v>897</v>
      </c>
      <c r="B52" s="237"/>
      <c r="C52" s="23">
        <f t="shared" ref="C52:K52" si="7">SUM(C53:C61)</f>
        <v>0</v>
      </c>
      <c r="D52" s="23">
        <f t="shared" si="7"/>
        <v>0</v>
      </c>
      <c r="E52" s="50">
        <f t="shared" si="7"/>
        <v>0</v>
      </c>
      <c r="F52" s="24">
        <f t="shared" si="7"/>
        <v>0</v>
      </c>
      <c r="G52" s="23">
        <f t="shared" si="7"/>
        <v>0</v>
      </c>
      <c r="H52" s="83">
        <f t="shared" si="7"/>
        <v>0</v>
      </c>
      <c r="I52" s="319">
        <f t="shared" si="7"/>
        <v>0</v>
      </c>
      <c r="J52" s="23">
        <f t="shared" si="7"/>
        <v>0</v>
      </c>
      <c r="K52" s="83">
        <f t="shared" si="7"/>
        <v>0</v>
      </c>
      <c r="L52" s="358"/>
    </row>
    <row r="53" spans="1:12" ht="13.15" customHeight="1" x14ac:dyDescent="0.25">
      <c r="A53" s="238" t="s">
        <v>898</v>
      </c>
      <c r="B53" s="237"/>
      <c r="C53" s="354"/>
      <c r="D53" s="354"/>
      <c r="E53" s="359"/>
      <c r="F53" s="360"/>
      <c r="G53" s="354"/>
      <c r="H53" s="361"/>
      <c r="I53" s="362"/>
      <c r="J53" s="354"/>
      <c r="K53" s="361"/>
    </row>
    <row r="54" spans="1:12" ht="13.15" customHeight="1" x14ac:dyDescent="0.25">
      <c r="A54" s="238" t="s">
        <v>899</v>
      </c>
      <c r="B54" s="237"/>
      <c r="C54" s="354"/>
      <c r="D54" s="354"/>
      <c r="E54" s="359"/>
      <c r="F54" s="360"/>
      <c r="G54" s="354"/>
      <c r="H54" s="361"/>
      <c r="I54" s="362"/>
      <c r="J54" s="354"/>
      <c r="K54" s="361"/>
      <c r="L54" s="358"/>
    </row>
    <row r="55" spans="1:12" ht="13.15" customHeight="1" x14ac:dyDescent="0.25">
      <c r="A55" s="238" t="s">
        <v>900</v>
      </c>
      <c r="B55" s="237"/>
      <c r="C55" s="354"/>
      <c r="D55" s="354"/>
      <c r="E55" s="359"/>
      <c r="F55" s="360"/>
      <c r="G55" s="354"/>
      <c r="H55" s="361"/>
      <c r="I55" s="362"/>
      <c r="J55" s="354"/>
      <c r="K55" s="361"/>
      <c r="L55" s="358"/>
    </row>
    <row r="56" spans="1:12" ht="13.15" customHeight="1" x14ac:dyDescent="0.25">
      <c r="A56" s="238" t="s">
        <v>863</v>
      </c>
      <c r="B56" s="237"/>
      <c r="C56" s="354"/>
      <c r="D56" s="354"/>
      <c r="E56" s="359"/>
      <c r="F56" s="360"/>
      <c r="G56" s="354"/>
      <c r="H56" s="361"/>
      <c r="I56" s="362"/>
      <c r="J56" s="354"/>
      <c r="K56" s="361"/>
      <c r="L56" s="358"/>
    </row>
    <row r="57" spans="1:12" ht="13.15" customHeight="1" x14ac:dyDescent="0.25">
      <c r="A57" s="238" t="s">
        <v>864</v>
      </c>
      <c r="B57" s="237"/>
      <c r="C57" s="354"/>
      <c r="D57" s="354"/>
      <c r="E57" s="359"/>
      <c r="F57" s="360"/>
      <c r="G57" s="354"/>
      <c r="H57" s="361"/>
      <c r="I57" s="362"/>
      <c r="J57" s="354"/>
      <c r="K57" s="361"/>
      <c r="L57" s="358"/>
    </row>
    <row r="58" spans="1:12" ht="13.15" customHeight="1" x14ac:dyDescent="0.25">
      <c r="A58" s="238" t="s">
        <v>865</v>
      </c>
      <c r="B58" s="237"/>
      <c r="C58" s="354"/>
      <c r="D58" s="354"/>
      <c r="E58" s="359"/>
      <c r="F58" s="360"/>
      <c r="G58" s="354"/>
      <c r="H58" s="361"/>
      <c r="I58" s="362"/>
      <c r="J58" s="354"/>
      <c r="K58" s="361"/>
    </row>
    <row r="59" spans="1:12" ht="13.15" customHeight="1" x14ac:dyDescent="0.25">
      <c r="A59" s="238" t="s">
        <v>871</v>
      </c>
      <c r="B59" s="237"/>
      <c r="C59" s="354"/>
      <c r="D59" s="354"/>
      <c r="E59" s="359"/>
      <c r="F59" s="360"/>
      <c r="G59" s="354"/>
      <c r="H59" s="361"/>
      <c r="I59" s="362"/>
      <c r="J59" s="354"/>
      <c r="K59" s="361"/>
      <c r="L59" s="358"/>
    </row>
    <row r="60" spans="1:12" ht="13.15" customHeight="1" x14ac:dyDescent="0.25">
      <c r="A60" s="238" t="s">
        <v>874</v>
      </c>
      <c r="B60" s="237"/>
      <c r="C60" s="354"/>
      <c r="D60" s="354"/>
      <c r="E60" s="359"/>
      <c r="F60" s="360"/>
      <c r="G60" s="354"/>
      <c r="H60" s="361"/>
      <c r="I60" s="362"/>
      <c r="J60" s="354"/>
      <c r="K60" s="361"/>
      <c r="L60" s="358"/>
    </row>
    <row r="61" spans="1:12" ht="13.15" customHeight="1" x14ac:dyDescent="0.25">
      <c r="A61" s="238" t="s">
        <v>861</v>
      </c>
      <c r="B61" s="237"/>
      <c r="C61" s="354"/>
      <c r="D61" s="354"/>
      <c r="E61" s="359"/>
      <c r="F61" s="360"/>
      <c r="G61" s="354"/>
      <c r="H61" s="361"/>
      <c r="I61" s="362"/>
      <c r="J61" s="354"/>
      <c r="K61" s="361"/>
      <c r="L61" s="358"/>
    </row>
    <row r="62" spans="1:12" ht="13.15" customHeight="1" x14ac:dyDescent="0.25">
      <c r="A62" s="20" t="s">
        <v>901</v>
      </c>
      <c r="B62" s="237"/>
      <c r="C62" s="23">
        <f>SUM(C63:C67)</f>
        <v>0</v>
      </c>
      <c r="D62" s="23">
        <f t="shared" ref="D62:K62" si="8">SUM(D63:D67)</f>
        <v>0</v>
      </c>
      <c r="E62" s="50">
        <f t="shared" si="8"/>
        <v>0</v>
      </c>
      <c r="F62" s="24">
        <f t="shared" si="8"/>
        <v>0</v>
      </c>
      <c r="G62" s="23">
        <f t="shared" si="8"/>
        <v>0</v>
      </c>
      <c r="H62" s="83">
        <f t="shared" si="8"/>
        <v>0</v>
      </c>
      <c r="I62" s="319">
        <f t="shared" si="8"/>
        <v>0</v>
      </c>
      <c r="J62" s="23">
        <f t="shared" si="8"/>
        <v>0</v>
      </c>
      <c r="K62" s="83">
        <f t="shared" si="8"/>
        <v>0</v>
      </c>
      <c r="L62" s="358"/>
    </row>
    <row r="63" spans="1:12" ht="13.15" customHeight="1" x14ac:dyDescent="0.25">
      <c r="A63" s="238" t="s">
        <v>902</v>
      </c>
      <c r="B63" s="237"/>
      <c r="C63" s="354"/>
      <c r="D63" s="354"/>
      <c r="E63" s="359"/>
      <c r="F63" s="360"/>
      <c r="G63" s="354"/>
      <c r="H63" s="361"/>
      <c r="I63" s="362"/>
      <c r="J63" s="354"/>
      <c r="K63" s="361"/>
      <c r="L63" s="358"/>
    </row>
    <row r="64" spans="1:12" ht="13.15" customHeight="1" x14ac:dyDescent="0.25">
      <c r="A64" s="238" t="s">
        <v>903</v>
      </c>
      <c r="B64" s="237"/>
      <c r="C64" s="354"/>
      <c r="D64" s="354"/>
      <c r="E64" s="359"/>
      <c r="F64" s="360"/>
      <c r="G64" s="354"/>
      <c r="H64" s="361"/>
      <c r="I64" s="362"/>
      <c r="J64" s="354"/>
      <c r="K64" s="361"/>
    </row>
    <row r="65" spans="1:11" ht="13.15" customHeight="1" x14ac:dyDescent="0.25">
      <c r="A65" s="238" t="s">
        <v>904</v>
      </c>
      <c r="B65" s="237"/>
      <c r="C65" s="354"/>
      <c r="D65" s="354"/>
      <c r="E65" s="359"/>
      <c r="F65" s="360"/>
      <c r="G65" s="354"/>
      <c r="H65" s="361"/>
      <c r="I65" s="362"/>
      <c r="J65" s="354"/>
      <c r="K65" s="361"/>
    </row>
    <row r="66" spans="1:11" ht="13.15" customHeight="1" x14ac:dyDescent="0.25">
      <c r="A66" s="238" t="s">
        <v>905</v>
      </c>
      <c r="B66" s="237"/>
      <c r="C66" s="354"/>
      <c r="D66" s="354"/>
      <c r="E66" s="359"/>
      <c r="F66" s="360"/>
      <c r="G66" s="354"/>
      <c r="H66" s="361"/>
      <c r="I66" s="362"/>
      <c r="J66" s="354"/>
      <c r="K66" s="361"/>
    </row>
    <row r="67" spans="1:11" ht="13.15" customHeight="1" x14ac:dyDescent="0.25">
      <c r="A67" s="238" t="s">
        <v>861</v>
      </c>
      <c r="B67" s="237"/>
      <c r="C67" s="354"/>
      <c r="D67" s="354"/>
      <c r="E67" s="359"/>
      <c r="F67" s="360"/>
      <c r="G67" s="354"/>
      <c r="H67" s="361"/>
      <c r="I67" s="362"/>
      <c r="J67" s="354"/>
      <c r="K67" s="361"/>
    </row>
    <row r="68" spans="1:11" ht="13.15" customHeight="1" x14ac:dyDescent="0.25">
      <c r="A68" s="20" t="s">
        <v>906</v>
      </c>
      <c r="B68" s="237"/>
      <c r="C68" s="23">
        <f>SUM(C69:C72)</f>
        <v>0</v>
      </c>
      <c r="D68" s="23">
        <f t="shared" ref="D68:K68" si="9">SUM(D69:D72)</f>
        <v>0</v>
      </c>
      <c r="E68" s="23">
        <f t="shared" si="9"/>
        <v>0</v>
      </c>
      <c r="F68" s="24">
        <f t="shared" si="9"/>
        <v>0</v>
      </c>
      <c r="G68" s="23">
        <f t="shared" si="9"/>
        <v>0</v>
      </c>
      <c r="H68" s="83">
        <f t="shared" si="9"/>
        <v>0</v>
      </c>
      <c r="I68" s="319">
        <f t="shared" si="9"/>
        <v>0</v>
      </c>
      <c r="J68" s="23">
        <f t="shared" si="9"/>
        <v>0</v>
      </c>
      <c r="K68" s="83">
        <f t="shared" si="9"/>
        <v>0</v>
      </c>
    </row>
    <row r="69" spans="1:11" ht="13.15" customHeight="1" x14ac:dyDescent="0.25">
      <c r="A69" s="238" t="s">
        <v>907</v>
      </c>
      <c r="B69" s="237"/>
      <c r="C69" s="354"/>
      <c r="D69" s="354"/>
      <c r="E69" s="357"/>
      <c r="F69" s="356"/>
      <c r="G69" s="354"/>
      <c r="H69" s="357"/>
      <c r="I69" s="356"/>
      <c r="J69" s="354"/>
      <c r="K69" s="361"/>
    </row>
    <row r="70" spans="1:11" ht="13.15" customHeight="1" x14ac:dyDescent="0.25">
      <c r="A70" s="238" t="s">
        <v>908</v>
      </c>
      <c r="B70" s="237"/>
      <c r="C70" s="354"/>
      <c r="D70" s="354"/>
      <c r="E70" s="355"/>
      <c r="F70" s="356"/>
      <c r="G70" s="354"/>
      <c r="H70" s="357"/>
      <c r="I70" s="356"/>
      <c r="J70" s="354"/>
      <c r="K70" s="361"/>
    </row>
    <row r="71" spans="1:11" ht="13.15" customHeight="1" x14ac:dyDescent="0.25">
      <c r="A71" s="238" t="s">
        <v>909</v>
      </c>
      <c r="B71" s="237"/>
      <c r="C71" s="354"/>
      <c r="D71" s="354"/>
      <c r="E71" s="355"/>
      <c r="F71" s="356"/>
      <c r="G71" s="354"/>
      <c r="H71" s="357"/>
      <c r="I71" s="356"/>
      <c r="J71" s="354"/>
      <c r="K71" s="355"/>
    </row>
    <row r="72" spans="1:11" ht="13.15" customHeight="1" x14ac:dyDescent="0.25">
      <c r="A72" s="238" t="s">
        <v>861</v>
      </c>
      <c r="B72" s="237"/>
      <c r="C72" s="354"/>
      <c r="D72" s="354"/>
      <c r="E72" s="355"/>
      <c r="F72" s="356"/>
      <c r="G72" s="354"/>
      <c r="H72" s="357"/>
      <c r="I72" s="356"/>
      <c r="J72" s="354"/>
      <c r="K72" s="355"/>
    </row>
    <row r="73" spans="1:11" ht="5.0999999999999996" customHeight="1" x14ac:dyDescent="0.25">
      <c r="A73" s="21"/>
      <c r="B73" s="237"/>
      <c r="C73" s="23"/>
      <c r="D73" s="23"/>
      <c r="E73" s="240"/>
      <c r="F73" s="241"/>
      <c r="G73" s="23"/>
      <c r="H73" s="22"/>
      <c r="I73" s="241"/>
      <c r="J73" s="23"/>
      <c r="K73" s="240"/>
    </row>
    <row r="74" spans="1:11" ht="13.15" customHeight="1" x14ac:dyDescent="0.25">
      <c r="A74" s="19" t="s">
        <v>910</v>
      </c>
      <c r="B74" s="237"/>
      <c r="C74" s="26">
        <f>C75+C98</f>
        <v>0</v>
      </c>
      <c r="D74" s="26">
        <f t="shared" ref="D74:K74" si="10">D75+D98</f>
        <v>0</v>
      </c>
      <c r="E74" s="233">
        <f t="shared" si="10"/>
        <v>0</v>
      </c>
      <c r="F74" s="232">
        <f t="shared" si="10"/>
        <v>0</v>
      </c>
      <c r="G74" s="26">
        <f t="shared" si="10"/>
        <v>0</v>
      </c>
      <c r="H74" s="25">
        <f t="shared" si="10"/>
        <v>0</v>
      </c>
      <c r="I74" s="232">
        <f t="shared" si="10"/>
        <v>0</v>
      </c>
      <c r="J74" s="26">
        <f t="shared" si="10"/>
        <v>0</v>
      </c>
      <c r="K74" s="233">
        <f t="shared" si="10"/>
        <v>0</v>
      </c>
    </row>
    <row r="75" spans="1:11" ht="13.15" customHeight="1" x14ac:dyDescent="0.25">
      <c r="A75" s="20" t="s">
        <v>911</v>
      </c>
      <c r="B75" s="237"/>
      <c r="C75" s="48">
        <f>SUM(C76:C97)</f>
        <v>0</v>
      </c>
      <c r="D75" s="48">
        <f t="shared" ref="D75:K75" si="11">SUM(D76:D97)</f>
        <v>0</v>
      </c>
      <c r="E75" s="317">
        <f t="shared" si="11"/>
        <v>0</v>
      </c>
      <c r="F75" s="49">
        <f t="shared" si="11"/>
        <v>0</v>
      </c>
      <c r="G75" s="48">
        <f t="shared" si="11"/>
        <v>0</v>
      </c>
      <c r="H75" s="100">
        <f t="shared" si="11"/>
        <v>0</v>
      </c>
      <c r="I75" s="49">
        <f t="shared" si="11"/>
        <v>0</v>
      </c>
      <c r="J75" s="48">
        <f t="shared" si="11"/>
        <v>0</v>
      </c>
      <c r="K75" s="100">
        <f t="shared" si="11"/>
        <v>0</v>
      </c>
    </row>
    <row r="76" spans="1:11" ht="13.15" customHeight="1" x14ac:dyDescent="0.25">
      <c r="A76" s="238" t="s">
        <v>912</v>
      </c>
      <c r="B76" s="237"/>
      <c r="C76" s="354"/>
      <c r="D76" s="354"/>
      <c r="E76" s="355"/>
      <c r="F76" s="356"/>
      <c r="G76" s="354"/>
      <c r="H76" s="357"/>
      <c r="I76" s="356"/>
      <c r="J76" s="354"/>
      <c r="K76" s="355"/>
    </row>
    <row r="77" spans="1:11" ht="13.15" customHeight="1" x14ac:dyDescent="0.25">
      <c r="A77" s="238" t="s">
        <v>913</v>
      </c>
      <c r="B77" s="237"/>
      <c r="C77" s="354"/>
      <c r="D77" s="354"/>
      <c r="E77" s="355"/>
      <c r="F77" s="356"/>
      <c r="G77" s="354"/>
      <c r="H77" s="357"/>
      <c r="I77" s="356"/>
      <c r="J77" s="354"/>
      <c r="K77" s="355"/>
    </row>
    <row r="78" spans="1:11" ht="13.15" customHeight="1" x14ac:dyDescent="0.25">
      <c r="A78" s="238" t="s">
        <v>914</v>
      </c>
      <c r="B78" s="237"/>
      <c r="C78" s="354"/>
      <c r="D78" s="354"/>
      <c r="E78" s="355"/>
      <c r="F78" s="356"/>
      <c r="G78" s="354"/>
      <c r="H78" s="357"/>
      <c r="I78" s="356"/>
      <c r="J78" s="354"/>
      <c r="K78" s="355"/>
    </row>
    <row r="79" spans="1:11" ht="13.15" customHeight="1" x14ac:dyDescent="0.25">
      <c r="A79" s="238" t="s">
        <v>915</v>
      </c>
      <c r="B79" s="237"/>
      <c r="C79" s="354"/>
      <c r="D79" s="354"/>
      <c r="E79" s="355"/>
      <c r="F79" s="356"/>
      <c r="G79" s="354"/>
      <c r="H79" s="357"/>
      <c r="I79" s="356"/>
      <c r="J79" s="354"/>
      <c r="K79" s="355"/>
    </row>
    <row r="80" spans="1:11" ht="13.15" customHeight="1" x14ac:dyDescent="0.25">
      <c r="A80" s="238" t="s">
        <v>916</v>
      </c>
      <c r="B80" s="237"/>
      <c r="C80" s="354"/>
      <c r="D80" s="354"/>
      <c r="E80" s="355"/>
      <c r="F80" s="356"/>
      <c r="G80" s="354"/>
      <c r="H80" s="357"/>
      <c r="I80" s="356"/>
      <c r="J80" s="354"/>
      <c r="K80" s="355"/>
    </row>
    <row r="81" spans="1:12" ht="13.15" customHeight="1" x14ac:dyDescent="0.25">
      <c r="A81" s="238" t="s">
        <v>917</v>
      </c>
      <c r="B81" s="237"/>
      <c r="C81" s="354"/>
      <c r="D81" s="354"/>
      <c r="E81" s="355"/>
      <c r="F81" s="356"/>
      <c r="G81" s="354"/>
      <c r="H81" s="357"/>
      <c r="I81" s="356"/>
      <c r="J81" s="354"/>
      <c r="K81" s="355"/>
    </row>
    <row r="82" spans="1:12" ht="13.15" customHeight="1" x14ac:dyDescent="0.25">
      <c r="A82" s="238" t="s">
        <v>918</v>
      </c>
      <c r="B82" s="237"/>
      <c r="C82" s="354"/>
      <c r="D82" s="354"/>
      <c r="E82" s="355"/>
      <c r="F82" s="356"/>
      <c r="G82" s="354"/>
      <c r="H82" s="357"/>
      <c r="I82" s="356"/>
      <c r="J82" s="354"/>
      <c r="K82" s="355"/>
    </row>
    <row r="83" spans="1:12" ht="13.15" customHeight="1" x14ac:dyDescent="0.25">
      <c r="A83" s="238" t="s">
        <v>919</v>
      </c>
      <c r="B83" s="237"/>
      <c r="C83" s="354"/>
      <c r="D83" s="354"/>
      <c r="E83" s="355"/>
      <c r="F83" s="356"/>
      <c r="G83" s="354"/>
      <c r="H83" s="357"/>
      <c r="I83" s="356"/>
      <c r="J83" s="354"/>
      <c r="K83" s="355"/>
    </row>
    <row r="84" spans="1:12" s="297" customFormat="1" ht="13.15" customHeight="1" x14ac:dyDescent="0.25">
      <c r="A84" s="238" t="s">
        <v>920</v>
      </c>
      <c r="B84" s="237"/>
      <c r="C84" s="354"/>
      <c r="D84" s="354"/>
      <c r="E84" s="355"/>
      <c r="F84" s="356"/>
      <c r="G84" s="354"/>
      <c r="H84" s="357"/>
      <c r="I84" s="356"/>
      <c r="J84" s="354"/>
      <c r="K84" s="355"/>
      <c r="L84" s="363"/>
    </row>
    <row r="85" spans="1:12" s="297" customFormat="1" ht="13.15" customHeight="1" x14ac:dyDescent="0.25">
      <c r="A85" s="238" t="s">
        <v>90</v>
      </c>
      <c r="B85" s="237"/>
      <c r="C85" s="354"/>
      <c r="D85" s="354"/>
      <c r="E85" s="355"/>
      <c r="F85" s="356"/>
      <c r="G85" s="354"/>
      <c r="H85" s="357"/>
      <c r="I85" s="356"/>
      <c r="J85" s="354"/>
      <c r="K85" s="355"/>
    </row>
    <row r="86" spans="1:12" s="297" customFormat="1" ht="13.15" customHeight="1" x14ac:dyDescent="0.25">
      <c r="A86" s="238" t="s">
        <v>921</v>
      </c>
      <c r="B86" s="237"/>
      <c r="C86" s="354"/>
      <c r="D86" s="354"/>
      <c r="E86" s="355"/>
      <c r="F86" s="356"/>
      <c r="G86" s="354"/>
      <c r="H86" s="357"/>
      <c r="I86" s="356"/>
      <c r="J86" s="354"/>
      <c r="K86" s="355"/>
    </row>
    <row r="87" spans="1:12" ht="13.15" customHeight="1" x14ac:dyDescent="0.25">
      <c r="A87" s="238" t="s">
        <v>922</v>
      </c>
      <c r="B87" s="237"/>
      <c r="C87" s="354"/>
      <c r="D87" s="354"/>
      <c r="E87" s="355"/>
      <c r="F87" s="356"/>
      <c r="G87" s="354"/>
      <c r="H87" s="357"/>
      <c r="I87" s="356"/>
      <c r="J87" s="354"/>
      <c r="K87" s="355"/>
    </row>
    <row r="88" spans="1:12" ht="13.15" customHeight="1" x14ac:dyDescent="0.25">
      <c r="A88" s="238" t="s">
        <v>1025</v>
      </c>
      <c r="B88" s="237"/>
      <c r="C88" s="354"/>
      <c r="D88" s="354"/>
      <c r="E88" s="355"/>
      <c r="F88" s="356"/>
      <c r="G88" s="354"/>
      <c r="H88" s="357"/>
      <c r="I88" s="356"/>
      <c r="J88" s="354"/>
      <c r="K88" s="355"/>
    </row>
    <row r="89" spans="1:12" ht="13.15" customHeight="1" x14ac:dyDescent="0.25">
      <c r="A89" s="238" t="s">
        <v>923</v>
      </c>
      <c r="B89" s="237"/>
      <c r="C89" s="354"/>
      <c r="D89" s="354"/>
      <c r="E89" s="355"/>
      <c r="F89" s="356"/>
      <c r="G89" s="354"/>
      <c r="H89" s="357"/>
      <c r="I89" s="356"/>
      <c r="J89" s="354"/>
      <c r="K89" s="355"/>
    </row>
    <row r="90" spans="1:12" ht="13.15" customHeight="1" x14ac:dyDescent="0.25">
      <c r="A90" s="238" t="s">
        <v>924</v>
      </c>
      <c r="B90" s="237"/>
      <c r="C90" s="354"/>
      <c r="D90" s="354"/>
      <c r="E90" s="355"/>
      <c r="F90" s="356"/>
      <c r="G90" s="354"/>
      <c r="H90" s="357"/>
      <c r="I90" s="356"/>
      <c r="J90" s="354"/>
      <c r="K90" s="355"/>
    </row>
    <row r="91" spans="1:12" ht="13.15" customHeight="1" x14ac:dyDescent="0.25">
      <c r="A91" s="238" t="s">
        <v>925</v>
      </c>
      <c r="B91" s="237"/>
      <c r="C91" s="354"/>
      <c r="D91" s="354"/>
      <c r="E91" s="355"/>
      <c r="F91" s="356"/>
      <c r="G91" s="354"/>
      <c r="H91" s="357"/>
      <c r="I91" s="356"/>
      <c r="J91" s="354"/>
      <c r="K91" s="355"/>
    </row>
    <row r="92" spans="1:12" ht="13.15" customHeight="1" x14ac:dyDescent="0.25">
      <c r="A92" s="238" t="s">
        <v>11</v>
      </c>
      <c r="B92" s="237"/>
      <c r="C92" s="354"/>
      <c r="D92" s="354"/>
      <c r="E92" s="355"/>
      <c r="F92" s="356"/>
      <c r="G92" s="354"/>
      <c r="H92" s="357"/>
      <c r="I92" s="356"/>
      <c r="J92" s="354"/>
      <c r="K92" s="355"/>
    </row>
    <row r="93" spans="1:12" ht="13.15" customHeight="1" x14ac:dyDescent="0.25">
      <c r="A93" s="238" t="s">
        <v>926</v>
      </c>
      <c r="B93" s="237"/>
      <c r="C93" s="354"/>
      <c r="D93" s="354"/>
      <c r="E93" s="355"/>
      <c r="F93" s="356"/>
      <c r="G93" s="354"/>
      <c r="H93" s="357"/>
      <c r="I93" s="356"/>
      <c r="J93" s="354"/>
      <c r="K93" s="355"/>
    </row>
    <row r="94" spans="1:12" ht="13.15" customHeight="1" x14ac:dyDescent="0.25">
      <c r="A94" s="238" t="s">
        <v>10</v>
      </c>
      <c r="B94" s="237"/>
      <c r="C94" s="354"/>
      <c r="D94" s="354"/>
      <c r="E94" s="355"/>
      <c r="F94" s="356"/>
      <c r="G94" s="354"/>
      <c r="H94" s="357"/>
      <c r="I94" s="356"/>
      <c r="J94" s="354"/>
      <c r="K94" s="355"/>
    </row>
    <row r="95" spans="1:12" ht="13.15" customHeight="1" x14ac:dyDescent="0.25">
      <c r="A95" s="238" t="s">
        <v>927</v>
      </c>
      <c r="B95" s="237"/>
      <c r="C95" s="354"/>
      <c r="D95" s="354"/>
      <c r="E95" s="355"/>
      <c r="F95" s="356"/>
      <c r="G95" s="354"/>
      <c r="H95" s="357"/>
      <c r="I95" s="356"/>
      <c r="J95" s="354"/>
      <c r="K95" s="355"/>
    </row>
    <row r="96" spans="1:12" ht="13.15" customHeight="1" x14ac:dyDescent="0.25">
      <c r="A96" s="238" t="s">
        <v>928</v>
      </c>
      <c r="B96" s="237"/>
      <c r="C96" s="354"/>
      <c r="D96" s="354"/>
      <c r="E96" s="355"/>
      <c r="F96" s="356"/>
      <c r="G96" s="354"/>
      <c r="H96" s="357"/>
      <c r="I96" s="356"/>
      <c r="J96" s="354"/>
      <c r="K96" s="355"/>
    </row>
    <row r="97" spans="1:11" ht="13.15" customHeight="1" x14ac:dyDescent="0.25">
      <c r="A97" s="238" t="s">
        <v>861</v>
      </c>
      <c r="B97" s="237"/>
      <c r="C97" s="354"/>
      <c r="D97" s="354"/>
      <c r="E97" s="355"/>
      <c r="F97" s="356"/>
      <c r="G97" s="354"/>
      <c r="H97" s="357"/>
      <c r="I97" s="356"/>
      <c r="J97" s="354"/>
      <c r="K97" s="355"/>
    </row>
    <row r="98" spans="1:11" ht="13.15" customHeight="1" x14ac:dyDescent="0.25">
      <c r="A98" s="20" t="s">
        <v>929</v>
      </c>
      <c r="B98" s="237"/>
      <c r="C98" s="23">
        <f>SUM(C99:C101)</f>
        <v>0</v>
      </c>
      <c r="D98" s="23">
        <f t="shared" ref="D98:K98" si="12">SUM(D99:D101)</f>
        <v>0</v>
      </c>
      <c r="E98" s="23">
        <f t="shared" si="12"/>
        <v>0</v>
      </c>
      <c r="F98" s="24">
        <f t="shared" si="12"/>
        <v>0</v>
      </c>
      <c r="G98" s="23">
        <f t="shared" si="12"/>
        <v>0</v>
      </c>
      <c r="H98" s="83">
        <f t="shared" si="12"/>
        <v>0</v>
      </c>
      <c r="I98" s="319">
        <f t="shared" si="12"/>
        <v>0</v>
      </c>
      <c r="J98" s="23">
        <f t="shared" si="12"/>
        <v>0</v>
      </c>
      <c r="K98" s="83">
        <f t="shared" si="12"/>
        <v>0</v>
      </c>
    </row>
    <row r="99" spans="1:11" ht="13.15" customHeight="1" x14ac:dyDescent="0.25">
      <c r="A99" s="238" t="s">
        <v>930</v>
      </c>
      <c r="B99" s="237"/>
      <c r="C99" s="354"/>
      <c r="D99" s="354"/>
      <c r="E99" s="357"/>
      <c r="F99" s="356"/>
      <c r="G99" s="354"/>
      <c r="H99" s="357"/>
      <c r="I99" s="356"/>
      <c r="J99" s="354"/>
      <c r="K99" s="361"/>
    </row>
    <row r="100" spans="1:11" ht="13.15" customHeight="1" x14ac:dyDescent="0.25">
      <c r="A100" s="238" t="s">
        <v>931</v>
      </c>
      <c r="B100" s="237"/>
      <c r="C100" s="354"/>
      <c r="D100" s="354"/>
      <c r="E100" s="355"/>
      <c r="F100" s="356"/>
      <c r="G100" s="354"/>
      <c r="H100" s="357"/>
      <c r="I100" s="356"/>
      <c r="J100" s="354"/>
      <c r="K100" s="361"/>
    </row>
    <row r="101" spans="1:11" ht="13.15" customHeight="1" x14ac:dyDescent="0.25">
      <c r="A101" s="238" t="s">
        <v>861</v>
      </c>
      <c r="B101" s="237"/>
      <c r="C101" s="354"/>
      <c r="D101" s="354"/>
      <c r="E101" s="355"/>
      <c r="F101" s="356"/>
      <c r="G101" s="354"/>
      <c r="H101" s="357"/>
      <c r="I101" s="356"/>
      <c r="J101" s="354"/>
      <c r="K101" s="355"/>
    </row>
    <row r="102" spans="1:11" ht="5.0999999999999996" customHeight="1" x14ac:dyDescent="0.25">
      <c r="A102" s="21"/>
      <c r="B102" s="237"/>
      <c r="C102" s="23"/>
      <c r="D102" s="23"/>
      <c r="E102" s="240"/>
      <c r="F102" s="241"/>
      <c r="G102" s="23"/>
      <c r="H102" s="22"/>
      <c r="I102" s="241"/>
      <c r="J102" s="23"/>
      <c r="K102" s="240"/>
    </row>
    <row r="103" spans="1:11" ht="13.15" customHeight="1" x14ac:dyDescent="0.25">
      <c r="A103" s="19" t="s">
        <v>187</v>
      </c>
      <c r="B103" s="237"/>
      <c r="C103" s="23">
        <f>SUM(C104:C108)</f>
        <v>0</v>
      </c>
      <c r="D103" s="23">
        <f t="shared" ref="D103:K103" si="13">SUM(D104:D108)</f>
        <v>0</v>
      </c>
      <c r="E103" s="240">
        <f t="shared" si="13"/>
        <v>0</v>
      </c>
      <c r="F103" s="241">
        <f t="shared" si="13"/>
        <v>0</v>
      </c>
      <c r="G103" s="23">
        <f t="shared" si="13"/>
        <v>0</v>
      </c>
      <c r="H103" s="22">
        <f t="shared" si="13"/>
        <v>0</v>
      </c>
      <c r="I103" s="241">
        <f t="shared" si="13"/>
        <v>0</v>
      </c>
      <c r="J103" s="23">
        <f t="shared" si="13"/>
        <v>0</v>
      </c>
      <c r="K103" s="240">
        <f t="shared" si="13"/>
        <v>0</v>
      </c>
    </row>
    <row r="104" spans="1:11" ht="13.15" customHeight="1" x14ac:dyDescent="0.25">
      <c r="A104" s="20" t="s">
        <v>932</v>
      </c>
      <c r="B104" s="237"/>
      <c r="C104" s="364"/>
      <c r="D104" s="364"/>
      <c r="E104" s="365"/>
      <c r="F104" s="366"/>
      <c r="G104" s="364"/>
      <c r="H104" s="367"/>
      <c r="I104" s="366"/>
      <c r="J104" s="364"/>
      <c r="K104" s="365"/>
    </row>
    <row r="105" spans="1:11" ht="13.15" customHeight="1" x14ac:dyDescent="0.25">
      <c r="A105" s="20" t="s">
        <v>933</v>
      </c>
      <c r="B105" s="237"/>
      <c r="C105" s="368"/>
      <c r="D105" s="368"/>
      <c r="E105" s="369"/>
      <c r="F105" s="370"/>
      <c r="G105" s="368"/>
      <c r="H105" s="371"/>
      <c r="I105" s="370"/>
      <c r="J105" s="368"/>
      <c r="K105" s="369"/>
    </row>
    <row r="106" spans="1:11" ht="13.15" customHeight="1" x14ac:dyDescent="0.25">
      <c r="A106" s="20" t="s">
        <v>934</v>
      </c>
      <c r="B106" s="237"/>
      <c r="C106" s="368"/>
      <c r="D106" s="368"/>
      <c r="E106" s="369"/>
      <c r="F106" s="370"/>
      <c r="G106" s="368"/>
      <c r="H106" s="371"/>
      <c r="I106" s="370"/>
      <c r="J106" s="368"/>
      <c r="K106" s="369"/>
    </row>
    <row r="107" spans="1:11" ht="13.15" customHeight="1" x14ac:dyDescent="0.25">
      <c r="A107" s="20" t="s">
        <v>935</v>
      </c>
      <c r="B107" s="237"/>
      <c r="C107" s="368"/>
      <c r="D107" s="368"/>
      <c r="E107" s="369"/>
      <c r="F107" s="370"/>
      <c r="G107" s="368"/>
      <c r="H107" s="371"/>
      <c r="I107" s="370"/>
      <c r="J107" s="368"/>
      <c r="K107" s="369"/>
    </row>
    <row r="108" spans="1:11" ht="13.15" customHeight="1" x14ac:dyDescent="0.25">
      <c r="A108" s="20" t="s">
        <v>936</v>
      </c>
      <c r="B108" s="237"/>
      <c r="C108" s="368"/>
      <c r="D108" s="368"/>
      <c r="E108" s="369"/>
      <c r="F108" s="370"/>
      <c r="G108" s="368"/>
      <c r="H108" s="371"/>
      <c r="I108" s="370"/>
      <c r="J108" s="368"/>
      <c r="K108" s="369"/>
    </row>
    <row r="109" spans="1:11" ht="5.0999999999999996" customHeight="1" x14ac:dyDescent="0.25">
      <c r="A109" s="21"/>
      <c r="B109" s="237"/>
      <c r="C109" s="23"/>
      <c r="D109" s="23"/>
      <c r="E109" s="240"/>
      <c r="F109" s="241"/>
      <c r="G109" s="23"/>
      <c r="H109" s="22"/>
      <c r="I109" s="241"/>
      <c r="J109" s="23"/>
      <c r="K109" s="240"/>
    </row>
    <row r="110" spans="1:11" ht="13.15" customHeight="1" x14ac:dyDescent="0.25">
      <c r="A110" s="19" t="s">
        <v>188</v>
      </c>
      <c r="B110" s="237"/>
      <c r="C110" s="26">
        <f>+C111+C114</f>
        <v>0</v>
      </c>
      <c r="D110" s="26">
        <f t="shared" ref="D110:K110" si="14">+D111+D114</f>
        <v>0</v>
      </c>
      <c r="E110" s="233">
        <f t="shared" si="14"/>
        <v>0</v>
      </c>
      <c r="F110" s="232">
        <f t="shared" si="14"/>
        <v>0</v>
      </c>
      <c r="G110" s="26">
        <f t="shared" si="14"/>
        <v>0</v>
      </c>
      <c r="H110" s="25">
        <f t="shared" si="14"/>
        <v>0</v>
      </c>
      <c r="I110" s="232">
        <f t="shared" si="14"/>
        <v>0</v>
      </c>
      <c r="J110" s="26">
        <f t="shared" si="14"/>
        <v>0</v>
      </c>
      <c r="K110" s="233">
        <f t="shared" si="14"/>
        <v>0</v>
      </c>
    </row>
    <row r="111" spans="1:11" ht="13.15" customHeight="1" x14ac:dyDescent="0.25">
      <c r="A111" s="20" t="s">
        <v>937</v>
      </c>
      <c r="B111" s="237"/>
      <c r="C111" s="48">
        <f t="shared" ref="C111:K111" si="15">SUM(C112:C113)</f>
        <v>0</v>
      </c>
      <c r="D111" s="48">
        <f t="shared" si="15"/>
        <v>0</v>
      </c>
      <c r="E111" s="48">
        <f t="shared" si="15"/>
        <v>0</v>
      </c>
      <c r="F111" s="49">
        <f t="shared" si="15"/>
        <v>0</v>
      </c>
      <c r="G111" s="48">
        <f t="shared" si="15"/>
        <v>0</v>
      </c>
      <c r="H111" s="100">
        <f t="shared" si="15"/>
        <v>0</v>
      </c>
      <c r="I111" s="318">
        <f t="shared" si="15"/>
        <v>0</v>
      </c>
      <c r="J111" s="48">
        <f t="shared" si="15"/>
        <v>0</v>
      </c>
      <c r="K111" s="100">
        <f t="shared" si="15"/>
        <v>0</v>
      </c>
    </row>
    <row r="112" spans="1:11" ht="13.15" customHeight="1" x14ac:dyDescent="0.25">
      <c r="A112" s="238" t="s">
        <v>938</v>
      </c>
      <c r="B112" s="237"/>
      <c r="C112" s="354"/>
      <c r="D112" s="354"/>
      <c r="E112" s="357"/>
      <c r="F112" s="356"/>
      <c r="G112" s="354"/>
      <c r="H112" s="357"/>
      <c r="I112" s="356"/>
      <c r="J112" s="354"/>
      <c r="K112" s="361"/>
    </row>
    <row r="113" spans="1:11" ht="13.15" customHeight="1" x14ac:dyDescent="0.25">
      <c r="A113" s="238" t="s">
        <v>939</v>
      </c>
      <c r="B113" s="237"/>
      <c r="C113" s="354"/>
      <c r="D113" s="354"/>
      <c r="E113" s="355"/>
      <c r="F113" s="356"/>
      <c r="G113" s="354"/>
      <c r="H113" s="357"/>
      <c r="I113" s="356"/>
      <c r="J113" s="354"/>
      <c r="K113" s="361"/>
    </row>
    <row r="114" spans="1:11" ht="13.15" customHeight="1" x14ac:dyDescent="0.25">
      <c r="A114" s="20" t="s">
        <v>940</v>
      </c>
      <c r="B114" s="237"/>
      <c r="C114" s="23">
        <f>SUM(C115:C116)</f>
        <v>0</v>
      </c>
      <c r="D114" s="23">
        <f t="shared" ref="D114:K114" si="16">SUM(D115:D116)</f>
        <v>0</v>
      </c>
      <c r="E114" s="23">
        <f t="shared" si="16"/>
        <v>0</v>
      </c>
      <c r="F114" s="24">
        <f t="shared" si="16"/>
        <v>0</v>
      </c>
      <c r="G114" s="23">
        <f t="shared" si="16"/>
        <v>0</v>
      </c>
      <c r="H114" s="83">
        <f t="shared" si="16"/>
        <v>0</v>
      </c>
      <c r="I114" s="319">
        <f t="shared" si="16"/>
        <v>0</v>
      </c>
      <c r="J114" s="23">
        <f t="shared" si="16"/>
        <v>0</v>
      </c>
      <c r="K114" s="83">
        <f t="shared" si="16"/>
        <v>0</v>
      </c>
    </row>
    <row r="115" spans="1:11" ht="13.15" customHeight="1" x14ac:dyDescent="0.25">
      <c r="A115" s="238" t="s">
        <v>938</v>
      </c>
      <c r="B115" s="237"/>
      <c r="C115" s="354"/>
      <c r="D115" s="354"/>
      <c r="E115" s="357"/>
      <c r="F115" s="356"/>
      <c r="G115" s="354"/>
      <c r="H115" s="357"/>
      <c r="I115" s="356"/>
      <c r="J115" s="354"/>
      <c r="K115" s="361"/>
    </row>
    <row r="116" spans="1:11" ht="13.15" customHeight="1" x14ac:dyDescent="0.25">
      <c r="A116" s="238" t="s">
        <v>939</v>
      </c>
      <c r="B116" s="237"/>
      <c r="C116" s="354"/>
      <c r="D116" s="354"/>
      <c r="E116" s="355"/>
      <c r="F116" s="356"/>
      <c r="G116" s="354"/>
      <c r="H116" s="357"/>
      <c r="I116" s="356"/>
      <c r="J116" s="354"/>
      <c r="K116" s="361"/>
    </row>
    <row r="117" spans="1:11" ht="5.0999999999999996" customHeight="1" x14ac:dyDescent="0.25">
      <c r="A117" s="21"/>
      <c r="B117" s="237"/>
      <c r="C117" s="23"/>
      <c r="D117" s="23"/>
      <c r="E117" s="240"/>
      <c r="F117" s="241"/>
      <c r="G117" s="23"/>
      <c r="H117" s="22"/>
      <c r="I117" s="241"/>
      <c r="J117" s="23"/>
      <c r="K117" s="240"/>
    </row>
    <row r="118" spans="1:11" ht="13.15" customHeight="1" x14ac:dyDescent="0.25">
      <c r="A118" s="19" t="s">
        <v>189</v>
      </c>
      <c r="B118" s="237"/>
      <c r="C118" s="26">
        <f>+C119+C131</f>
        <v>3356108</v>
      </c>
      <c r="D118" s="26">
        <f t="shared" ref="D118:K118" si="17">+D119+D131</f>
        <v>3629594</v>
      </c>
      <c r="E118" s="233">
        <f t="shared" si="17"/>
        <v>3416099</v>
      </c>
      <c r="F118" s="232">
        <f t="shared" si="17"/>
        <v>60000</v>
      </c>
      <c r="G118" s="26">
        <f t="shared" si="17"/>
        <v>60000</v>
      </c>
      <c r="H118" s="25">
        <f t="shared" si="17"/>
        <v>60000</v>
      </c>
      <c r="I118" s="232">
        <f t="shared" si="17"/>
        <v>0</v>
      </c>
      <c r="J118" s="26">
        <f t="shared" si="17"/>
        <v>0</v>
      </c>
      <c r="K118" s="233">
        <f t="shared" si="17"/>
        <v>0</v>
      </c>
    </row>
    <row r="119" spans="1:11" ht="13.15" customHeight="1" x14ac:dyDescent="0.25">
      <c r="A119" s="20" t="s">
        <v>941</v>
      </c>
      <c r="B119" s="237"/>
      <c r="C119" s="48">
        <f>SUM(C120:C130)</f>
        <v>3356108</v>
      </c>
      <c r="D119" s="48">
        <f t="shared" ref="D119:K119" si="18">SUM(D120:D130)</f>
        <v>3629594</v>
      </c>
      <c r="E119" s="48">
        <f t="shared" si="18"/>
        <v>3416099</v>
      </c>
      <c r="F119" s="49">
        <f t="shared" si="18"/>
        <v>60000</v>
      </c>
      <c r="G119" s="48">
        <f t="shared" si="18"/>
        <v>60000</v>
      </c>
      <c r="H119" s="100">
        <f t="shared" si="18"/>
        <v>60000</v>
      </c>
      <c r="I119" s="318">
        <f t="shared" si="18"/>
        <v>0</v>
      </c>
      <c r="J119" s="48">
        <f t="shared" si="18"/>
        <v>0</v>
      </c>
      <c r="K119" s="100">
        <f t="shared" si="18"/>
        <v>0</v>
      </c>
    </row>
    <row r="120" spans="1:11" ht="13.15" customHeight="1" x14ac:dyDescent="0.25">
      <c r="A120" s="238" t="s">
        <v>942</v>
      </c>
      <c r="B120" s="237"/>
      <c r="C120" s="354">
        <v>3356108</v>
      </c>
      <c r="D120" s="354">
        <v>3629594</v>
      </c>
      <c r="E120" s="354">
        <v>3416099</v>
      </c>
      <c r="F120" s="356">
        <v>60000</v>
      </c>
      <c r="G120" s="354">
        <v>60000</v>
      </c>
      <c r="H120" s="357">
        <f>G120</f>
        <v>60000</v>
      </c>
      <c r="I120" s="356">
        <v>0</v>
      </c>
      <c r="J120" s="354">
        <f>I120*1.05</f>
        <v>0</v>
      </c>
      <c r="K120" s="354">
        <f>J120*1.05</f>
        <v>0</v>
      </c>
    </row>
    <row r="121" spans="1:11" ht="13.15" customHeight="1" x14ac:dyDescent="0.25">
      <c r="A121" s="238" t="s">
        <v>943</v>
      </c>
      <c r="B121" s="237"/>
      <c r="C121" s="354"/>
      <c r="D121" s="354"/>
      <c r="E121" s="357"/>
      <c r="F121" s="356"/>
      <c r="G121" s="354"/>
      <c r="H121" s="357"/>
      <c r="I121" s="356"/>
      <c r="J121" s="354"/>
      <c r="K121" s="361"/>
    </row>
    <row r="122" spans="1:11" ht="13.15" customHeight="1" x14ac:dyDescent="0.25">
      <c r="A122" s="238" t="s">
        <v>944</v>
      </c>
      <c r="B122" s="237"/>
      <c r="C122" s="354"/>
      <c r="D122" s="354"/>
      <c r="E122" s="357"/>
      <c r="F122" s="356"/>
      <c r="G122" s="354"/>
      <c r="H122" s="357"/>
      <c r="I122" s="356"/>
      <c r="J122" s="354"/>
      <c r="K122" s="361"/>
    </row>
    <row r="123" spans="1:11" ht="13.15" customHeight="1" x14ac:dyDescent="0.25">
      <c r="A123" s="238" t="s">
        <v>945</v>
      </c>
      <c r="B123" s="237"/>
      <c r="C123" s="354"/>
      <c r="D123" s="354"/>
      <c r="E123" s="357"/>
      <c r="F123" s="356"/>
      <c r="G123" s="354"/>
      <c r="H123" s="357"/>
      <c r="I123" s="356"/>
      <c r="J123" s="354"/>
      <c r="K123" s="361"/>
    </row>
    <row r="124" spans="1:11" ht="13.15" customHeight="1" x14ac:dyDescent="0.25">
      <c r="A124" s="238" t="s">
        <v>946</v>
      </c>
      <c r="B124" s="237"/>
      <c r="C124" s="354"/>
      <c r="D124" s="354"/>
      <c r="E124" s="357"/>
      <c r="F124" s="356"/>
      <c r="G124" s="354"/>
      <c r="H124" s="357"/>
      <c r="I124" s="356"/>
      <c r="J124" s="354"/>
      <c r="K124" s="361"/>
    </row>
    <row r="125" spans="1:11" ht="13.15" customHeight="1" x14ac:dyDescent="0.25">
      <c r="A125" s="238" t="s">
        <v>947</v>
      </c>
      <c r="B125" s="237"/>
      <c r="C125" s="354"/>
      <c r="D125" s="354"/>
      <c r="E125" s="357"/>
      <c r="F125" s="356"/>
      <c r="G125" s="354"/>
      <c r="H125" s="357"/>
      <c r="I125" s="356"/>
      <c r="J125" s="354"/>
      <c r="K125" s="361"/>
    </row>
    <row r="126" spans="1:11" ht="13.15" customHeight="1" x14ac:dyDescent="0.25">
      <c r="A126" s="238" t="s">
        <v>948</v>
      </c>
      <c r="B126" s="237"/>
      <c r="C126" s="354"/>
      <c r="D126" s="354"/>
      <c r="E126" s="357"/>
      <c r="F126" s="356"/>
      <c r="G126" s="354"/>
      <c r="H126" s="357"/>
      <c r="I126" s="356"/>
      <c r="J126" s="354"/>
      <c r="K126" s="361"/>
    </row>
    <row r="127" spans="1:11" ht="13.15" customHeight="1" x14ac:dyDescent="0.25">
      <c r="A127" s="238" t="s">
        <v>949</v>
      </c>
      <c r="B127" s="237"/>
      <c r="C127" s="354"/>
      <c r="D127" s="354"/>
      <c r="E127" s="357"/>
      <c r="F127" s="356"/>
      <c r="G127" s="354"/>
      <c r="H127" s="357"/>
      <c r="I127" s="356"/>
      <c r="J127" s="354"/>
      <c r="K127" s="361"/>
    </row>
    <row r="128" spans="1:11" ht="13.15" customHeight="1" x14ac:dyDescent="0.25">
      <c r="A128" s="238" t="s">
        <v>950</v>
      </c>
      <c r="B128" s="237"/>
      <c r="C128" s="354"/>
      <c r="D128" s="354"/>
      <c r="E128" s="357"/>
      <c r="F128" s="356"/>
      <c r="G128" s="354"/>
      <c r="H128" s="357"/>
      <c r="I128" s="356"/>
      <c r="J128" s="354"/>
      <c r="K128" s="361"/>
    </row>
    <row r="129" spans="1:11" ht="13.15" customHeight="1" x14ac:dyDescent="0.25">
      <c r="A129" s="238" t="s">
        <v>951</v>
      </c>
      <c r="B129" s="237"/>
      <c r="C129" s="354"/>
      <c r="D129" s="354"/>
      <c r="E129" s="357"/>
      <c r="F129" s="356"/>
      <c r="G129" s="354"/>
      <c r="H129" s="357"/>
      <c r="I129" s="356"/>
      <c r="J129" s="354"/>
      <c r="K129" s="361"/>
    </row>
    <row r="130" spans="1:11" ht="13.15" customHeight="1" x14ac:dyDescent="0.25">
      <c r="A130" s="238" t="s">
        <v>861</v>
      </c>
      <c r="B130" s="237"/>
      <c r="C130" s="354"/>
      <c r="D130" s="354"/>
      <c r="E130" s="357"/>
      <c r="F130" s="356"/>
      <c r="G130" s="354"/>
      <c r="H130" s="357"/>
      <c r="I130" s="356"/>
      <c r="J130" s="354"/>
      <c r="K130" s="361"/>
    </row>
    <row r="131" spans="1:11" ht="13.15" customHeight="1" x14ac:dyDescent="0.25">
      <c r="A131" s="20" t="s">
        <v>952</v>
      </c>
      <c r="B131" s="237"/>
      <c r="C131" s="23">
        <f>SUM(C132:C134)</f>
        <v>0</v>
      </c>
      <c r="D131" s="23">
        <f t="shared" ref="D131:K131" si="19">SUM(D132:D134)</f>
        <v>0</v>
      </c>
      <c r="E131" s="23">
        <f t="shared" si="19"/>
        <v>0</v>
      </c>
      <c r="F131" s="24">
        <f t="shared" si="19"/>
        <v>0</v>
      </c>
      <c r="G131" s="23">
        <f t="shared" si="19"/>
        <v>0</v>
      </c>
      <c r="H131" s="83">
        <f t="shared" si="19"/>
        <v>0</v>
      </c>
      <c r="I131" s="319">
        <f t="shared" si="19"/>
        <v>0</v>
      </c>
      <c r="J131" s="23">
        <f t="shared" si="19"/>
        <v>0</v>
      </c>
      <c r="K131" s="83">
        <f t="shared" si="19"/>
        <v>0</v>
      </c>
    </row>
    <row r="132" spans="1:11" ht="13.15" customHeight="1" x14ac:dyDescent="0.25">
      <c r="A132" s="238" t="s">
        <v>953</v>
      </c>
      <c r="B132" s="237"/>
      <c r="C132" s="354"/>
      <c r="D132" s="354"/>
      <c r="E132" s="357"/>
      <c r="F132" s="356"/>
      <c r="G132" s="354"/>
      <c r="H132" s="357"/>
      <c r="I132" s="356"/>
      <c r="J132" s="354"/>
      <c r="K132" s="361"/>
    </row>
    <row r="133" spans="1:11" ht="13.15" customHeight="1" x14ac:dyDescent="0.25">
      <c r="A133" s="238" t="s">
        <v>954</v>
      </c>
      <c r="B133" s="237"/>
      <c r="C133" s="354"/>
      <c r="D133" s="354"/>
      <c r="E133" s="357"/>
      <c r="F133" s="356"/>
      <c r="G133" s="354"/>
      <c r="H133" s="357"/>
      <c r="I133" s="356"/>
      <c r="J133" s="354"/>
      <c r="K133" s="361"/>
    </row>
    <row r="134" spans="1:11" ht="13.15" customHeight="1" x14ac:dyDescent="0.25">
      <c r="A134" s="238" t="s">
        <v>861</v>
      </c>
      <c r="B134" s="237"/>
      <c r="C134" s="354"/>
      <c r="D134" s="354"/>
      <c r="E134" s="357"/>
      <c r="F134" s="356"/>
      <c r="G134" s="354"/>
      <c r="H134" s="357"/>
      <c r="I134" s="356"/>
      <c r="J134" s="354"/>
      <c r="K134" s="361"/>
    </row>
    <row r="135" spans="1:11" ht="5.0999999999999996" customHeight="1" x14ac:dyDescent="0.25">
      <c r="A135" s="242"/>
      <c r="B135" s="237"/>
      <c r="C135" s="23"/>
      <c r="D135" s="23"/>
      <c r="E135" s="240"/>
      <c r="F135" s="241"/>
      <c r="G135" s="23"/>
      <c r="H135" s="22"/>
      <c r="I135" s="241"/>
      <c r="J135" s="23"/>
      <c r="K135" s="240"/>
    </row>
    <row r="136" spans="1:11" ht="13.15" customHeight="1" x14ac:dyDescent="0.25">
      <c r="A136" s="19" t="s">
        <v>955</v>
      </c>
      <c r="B136" s="237"/>
      <c r="C136" s="23">
        <f t="shared" ref="C136:K136" si="20">SUM(C137:C137)</f>
        <v>0</v>
      </c>
      <c r="D136" s="23">
        <f t="shared" si="20"/>
        <v>0</v>
      </c>
      <c r="E136" s="240">
        <f t="shared" si="20"/>
        <v>0</v>
      </c>
      <c r="F136" s="241">
        <f t="shared" si="20"/>
        <v>0</v>
      </c>
      <c r="G136" s="23">
        <f t="shared" si="20"/>
        <v>0</v>
      </c>
      <c r="H136" s="22">
        <f t="shared" si="20"/>
        <v>0</v>
      </c>
      <c r="I136" s="241">
        <f t="shared" si="20"/>
        <v>0</v>
      </c>
      <c r="J136" s="23">
        <f t="shared" si="20"/>
        <v>0</v>
      </c>
      <c r="K136" s="240">
        <f t="shared" si="20"/>
        <v>0</v>
      </c>
    </row>
    <row r="137" spans="1:11" ht="13.15" customHeight="1" x14ac:dyDescent="0.25">
      <c r="A137" s="20" t="s">
        <v>955</v>
      </c>
      <c r="B137" s="237"/>
      <c r="C137" s="372"/>
      <c r="D137" s="372"/>
      <c r="E137" s="373"/>
      <c r="F137" s="374"/>
      <c r="G137" s="372"/>
      <c r="H137" s="375"/>
      <c r="I137" s="374"/>
      <c r="J137" s="372"/>
      <c r="K137" s="373"/>
    </row>
    <row r="138" spans="1:11" ht="5.0999999999999996" customHeight="1" x14ac:dyDescent="0.25">
      <c r="A138" s="21"/>
      <c r="B138" s="237"/>
      <c r="C138" s="23"/>
      <c r="D138" s="23"/>
      <c r="E138" s="240"/>
      <c r="F138" s="241"/>
      <c r="G138" s="23"/>
      <c r="H138" s="22"/>
      <c r="I138" s="241"/>
      <c r="J138" s="23"/>
      <c r="K138" s="240"/>
    </row>
    <row r="139" spans="1:11" ht="13.15" customHeight="1" x14ac:dyDescent="0.25">
      <c r="A139" s="19" t="s">
        <v>956</v>
      </c>
      <c r="B139" s="237"/>
      <c r="C139" s="23">
        <f>+C140+C141</f>
        <v>478380</v>
      </c>
      <c r="D139" s="23">
        <f t="shared" ref="D139:K139" si="21">+D140+D141</f>
        <v>681295</v>
      </c>
      <c r="E139" s="240">
        <f t="shared" si="21"/>
        <v>364995</v>
      </c>
      <c r="F139" s="241">
        <f t="shared" si="21"/>
        <v>400000</v>
      </c>
      <c r="G139" s="23">
        <f t="shared" si="21"/>
        <v>400000</v>
      </c>
      <c r="H139" s="22">
        <f t="shared" si="21"/>
        <v>400000</v>
      </c>
      <c r="I139" s="241">
        <f t="shared" si="21"/>
        <v>0</v>
      </c>
      <c r="J139" s="23">
        <f t="shared" si="21"/>
        <v>0</v>
      </c>
      <c r="K139" s="240">
        <f t="shared" si="21"/>
        <v>0</v>
      </c>
    </row>
    <row r="140" spans="1:11" ht="13.15" customHeight="1" x14ac:dyDescent="0.25">
      <c r="A140" s="20" t="s">
        <v>957</v>
      </c>
      <c r="B140" s="237"/>
      <c r="C140" s="372"/>
      <c r="D140" s="372"/>
      <c r="E140" s="373"/>
      <c r="F140" s="374"/>
      <c r="G140" s="372"/>
      <c r="H140" s="375"/>
      <c r="I140" s="374"/>
      <c r="J140" s="372"/>
      <c r="K140" s="373"/>
    </row>
    <row r="141" spans="1:11" ht="13.15" customHeight="1" x14ac:dyDescent="0.25">
      <c r="A141" s="20" t="s">
        <v>958</v>
      </c>
      <c r="B141" s="237"/>
      <c r="C141" s="23">
        <f>SUM(C142:C147)</f>
        <v>478380</v>
      </c>
      <c r="D141" s="23">
        <f t="shared" ref="D141:K141" si="22">SUM(D142:D147)</f>
        <v>681295</v>
      </c>
      <c r="E141" s="23">
        <f t="shared" si="22"/>
        <v>364995</v>
      </c>
      <c r="F141" s="24">
        <f t="shared" si="22"/>
        <v>400000</v>
      </c>
      <c r="G141" s="23">
        <f t="shared" si="22"/>
        <v>400000</v>
      </c>
      <c r="H141" s="83">
        <f t="shared" si="22"/>
        <v>400000</v>
      </c>
      <c r="I141" s="319">
        <f t="shared" si="22"/>
        <v>0</v>
      </c>
      <c r="J141" s="23">
        <f t="shared" si="22"/>
        <v>0</v>
      </c>
      <c r="K141" s="83">
        <f t="shared" si="22"/>
        <v>0</v>
      </c>
    </row>
    <row r="142" spans="1:11" ht="13.15" customHeight="1" x14ac:dyDescent="0.25">
      <c r="A142" s="238" t="s">
        <v>959</v>
      </c>
      <c r="B142" s="237"/>
      <c r="C142" s="354"/>
      <c r="D142" s="354"/>
      <c r="E142" s="357"/>
      <c r="F142" s="356"/>
      <c r="G142" s="354"/>
      <c r="H142" s="357"/>
      <c r="I142" s="356"/>
      <c r="J142" s="354"/>
      <c r="K142" s="361"/>
    </row>
    <row r="143" spans="1:11" ht="13.15" customHeight="1" x14ac:dyDescent="0.25">
      <c r="A143" s="238" t="s">
        <v>960</v>
      </c>
      <c r="B143" s="237"/>
      <c r="C143" s="354"/>
      <c r="D143" s="354"/>
      <c r="E143" s="357"/>
      <c r="F143" s="356"/>
      <c r="G143" s="354"/>
      <c r="H143" s="357"/>
      <c r="I143" s="356"/>
      <c r="J143" s="354"/>
      <c r="K143" s="361"/>
    </row>
    <row r="144" spans="1:11" ht="13.15" customHeight="1" x14ac:dyDescent="0.25">
      <c r="A144" s="238" t="s">
        <v>961</v>
      </c>
      <c r="B144" s="237"/>
      <c r="C144" s="354"/>
      <c r="D144" s="354"/>
      <c r="E144" s="357"/>
      <c r="F144" s="356"/>
      <c r="G144" s="354"/>
      <c r="H144" s="357"/>
      <c r="I144" s="356"/>
      <c r="J144" s="354"/>
      <c r="K144" s="361"/>
    </row>
    <row r="145" spans="1:11" ht="13.15" customHeight="1" x14ac:dyDescent="0.25">
      <c r="A145" s="238" t="s">
        <v>962</v>
      </c>
      <c r="B145" s="237"/>
      <c r="C145" s="354">
        <v>478380</v>
      </c>
      <c r="D145" s="354">
        <v>681295</v>
      </c>
      <c r="E145" s="357">
        <v>364995</v>
      </c>
      <c r="F145" s="356">
        <v>400000</v>
      </c>
      <c r="G145" s="354">
        <v>400000</v>
      </c>
      <c r="H145" s="357">
        <f>G145</f>
        <v>400000</v>
      </c>
      <c r="I145" s="356">
        <v>0</v>
      </c>
      <c r="J145" s="354">
        <f>I145*1.05</f>
        <v>0</v>
      </c>
      <c r="K145" s="354">
        <f>J145*1.05</f>
        <v>0</v>
      </c>
    </row>
    <row r="146" spans="1:11" ht="13.15" customHeight="1" x14ac:dyDescent="0.25">
      <c r="A146" s="238" t="s">
        <v>963</v>
      </c>
      <c r="B146" s="237"/>
      <c r="C146" s="354"/>
      <c r="D146" s="354"/>
      <c r="E146" s="357"/>
      <c r="F146" s="356"/>
      <c r="G146" s="354"/>
      <c r="H146" s="357"/>
      <c r="I146" s="356"/>
      <c r="J146" s="354"/>
      <c r="K146" s="361"/>
    </row>
    <row r="147" spans="1:11" ht="13.15" customHeight="1" x14ac:dyDescent="0.25">
      <c r="A147" s="238" t="s">
        <v>964</v>
      </c>
      <c r="B147" s="237"/>
      <c r="C147" s="354"/>
      <c r="D147" s="354"/>
      <c r="E147" s="357"/>
      <c r="F147" s="356"/>
      <c r="G147" s="354"/>
      <c r="H147" s="357"/>
      <c r="I147" s="356"/>
      <c r="J147" s="354"/>
      <c r="K147" s="361"/>
    </row>
    <row r="148" spans="1:11" ht="5.0999999999999996" customHeight="1" x14ac:dyDescent="0.25">
      <c r="A148" s="21"/>
      <c r="B148" s="237"/>
      <c r="C148" s="26"/>
      <c r="D148" s="26"/>
      <c r="E148" s="233"/>
      <c r="F148" s="232"/>
      <c r="G148" s="26"/>
      <c r="H148" s="25"/>
      <c r="I148" s="232"/>
      <c r="J148" s="26"/>
      <c r="K148" s="233"/>
    </row>
    <row r="149" spans="1:11" ht="13.15" customHeight="1" x14ac:dyDescent="0.25">
      <c r="A149" s="19" t="s">
        <v>965</v>
      </c>
      <c r="B149" s="237"/>
      <c r="C149" s="23">
        <f t="shared" ref="C149:K149" si="23">SUM(C150:C150)</f>
        <v>355103</v>
      </c>
      <c r="D149" s="23">
        <f t="shared" si="23"/>
        <v>278699</v>
      </c>
      <c r="E149" s="240">
        <f t="shared" si="23"/>
        <v>222741</v>
      </c>
      <c r="F149" s="241">
        <f t="shared" si="23"/>
        <v>20000</v>
      </c>
      <c r="G149" s="23">
        <f t="shared" si="23"/>
        <v>20000</v>
      </c>
      <c r="H149" s="22">
        <f t="shared" si="23"/>
        <v>20000</v>
      </c>
      <c r="I149" s="241">
        <f t="shared" si="23"/>
        <v>0</v>
      </c>
      <c r="J149" s="23">
        <f t="shared" si="23"/>
        <v>0</v>
      </c>
      <c r="K149" s="240">
        <f t="shared" si="23"/>
        <v>0</v>
      </c>
    </row>
    <row r="150" spans="1:11" ht="13.15" customHeight="1" x14ac:dyDescent="0.25">
      <c r="A150" s="20" t="s">
        <v>965</v>
      </c>
      <c r="B150" s="237"/>
      <c r="C150" s="372">
        <v>355103</v>
      </c>
      <c r="D150" s="372">
        <v>278699</v>
      </c>
      <c r="E150" s="373">
        <v>222741</v>
      </c>
      <c r="F150" s="374">
        <v>20000</v>
      </c>
      <c r="G150" s="372">
        <v>20000</v>
      </c>
      <c r="H150" s="375">
        <f>G150</f>
        <v>20000</v>
      </c>
      <c r="I150" s="374">
        <v>0</v>
      </c>
      <c r="J150" s="372">
        <f>I150*1.05</f>
        <v>0</v>
      </c>
      <c r="K150" s="372">
        <f>J150*1.05</f>
        <v>0</v>
      </c>
    </row>
    <row r="151" spans="1:11" ht="5.0999999999999996" customHeight="1" x14ac:dyDescent="0.25">
      <c r="A151" s="21"/>
      <c r="B151" s="237"/>
      <c r="C151" s="23"/>
      <c r="D151" s="23"/>
      <c r="E151" s="240"/>
      <c r="F151" s="241"/>
      <c r="G151" s="23"/>
      <c r="H151" s="22"/>
      <c r="I151" s="241"/>
      <c r="J151" s="23"/>
      <c r="K151" s="240"/>
    </row>
    <row r="152" spans="1:11" ht="13.15" customHeight="1" x14ac:dyDescent="0.25">
      <c r="A152" s="19" t="s">
        <v>966</v>
      </c>
      <c r="B152" s="237"/>
      <c r="C152" s="23">
        <f t="shared" ref="C152:E152" si="24">SUM(C153:C153)</f>
        <v>519022</v>
      </c>
      <c r="D152" s="23">
        <f t="shared" si="24"/>
        <v>419406</v>
      </c>
      <c r="E152" s="240">
        <f t="shared" si="24"/>
        <v>324693</v>
      </c>
      <c r="F152" s="241">
        <f t="shared" ref="F152:K152" si="25">SUM(F153:F153)</f>
        <v>7301</v>
      </c>
      <c r="G152" s="23">
        <f t="shared" si="25"/>
        <v>7301</v>
      </c>
      <c r="H152" s="22">
        <f t="shared" si="25"/>
        <v>7301</v>
      </c>
      <c r="I152" s="241">
        <f t="shared" si="25"/>
        <v>0</v>
      </c>
      <c r="J152" s="23">
        <f t="shared" si="25"/>
        <v>0</v>
      </c>
      <c r="K152" s="240">
        <f t="shared" si="25"/>
        <v>0</v>
      </c>
    </row>
    <row r="153" spans="1:11" ht="13.15" customHeight="1" x14ac:dyDescent="0.25">
      <c r="A153" s="20" t="s">
        <v>966</v>
      </c>
      <c r="B153" s="237"/>
      <c r="C153" s="372">
        <v>519022</v>
      </c>
      <c r="D153" s="372">
        <v>419406</v>
      </c>
      <c r="E153" s="373">
        <v>324693</v>
      </c>
      <c r="F153" s="374">
        <v>7301</v>
      </c>
      <c r="G153" s="372">
        <v>7301</v>
      </c>
      <c r="H153" s="375">
        <f>G153</f>
        <v>7301</v>
      </c>
      <c r="I153" s="374">
        <v>0</v>
      </c>
      <c r="J153" s="372">
        <f>I153*1.05</f>
        <v>0</v>
      </c>
      <c r="K153" s="372">
        <f>J153*1.05</f>
        <v>0</v>
      </c>
    </row>
    <row r="154" spans="1:11" ht="5.0999999999999996" customHeight="1" x14ac:dyDescent="0.25">
      <c r="A154" s="21"/>
      <c r="B154" s="237"/>
      <c r="C154" s="23"/>
      <c r="D154" s="23"/>
      <c r="E154" s="240"/>
      <c r="F154" s="241"/>
      <c r="G154" s="23"/>
      <c r="H154" s="22"/>
      <c r="I154" s="241"/>
      <c r="J154" s="23"/>
      <c r="K154" s="240"/>
    </row>
    <row r="155" spans="1:11" ht="13.15" customHeight="1" x14ac:dyDescent="0.25">
      <c r="A155" s="19" t="s">
        <v>967</v>
      </c>
      <c r="B155" s="237"/>
      <c r="C155" s="23">
        <f t="shared" ref="C155:E155" si="26">SUM(C156:C156)</f>
        <v>31306</v>
      </c>
      <c r="D155" s="23">
        <f t="shared" si="26"/>
        <v>63753</v>
      </c>
      <c r="E155" s="240">
        <f t="shared" si="26"/>
        <v>40626</v>
      </c>
      <c r="F155" s="241">
        <f t="shared" ref="F155:K155" si="27">SUM(F156:F156)</f>
        <v>10000</v>
      </c>
      <c r="G155" s="23">
        <f t="shared" si="27"/>
        <v>10000</v>
      </c>
      <c r="H155" s="22">
        <f t="shared" si="27"/>
        <v>10000</v>
      </c>
      <c r="I155" s="241">
        <f t="shared" si="27"/>
        <v>0</v>
      </c>
      <c r="J155" s="23">
        <f t="shared" si="27"/>
        <v>0</v>
      </c>
      <c r="K155" s="240">
        <f t="shared" si="27"/>
        <v>0</v>
      </c>
    </row>
    <row r="156" spans="1:11" ht="13.15" customHeight="1" x14ac:dyDescent="0.25">
      <c r="A156" s="20" t="s">
        <v>967</v>
      </c>
      <c r="B156" s="237"/>
      <c r="C156" s="372">
        <v>31306</v>
      </c>
      <c r="D156" s="372">
        <v>63753</v>
      </c>
      <c r="E156" s="373">
        <v>40626</v>
      </c>
      <c r="F156" s="374">
        <v>10000</v>
      </c>
      <c r="G156" s="372">
        <v>10000</v>
      </c>
      <c r="H156" s="375">
        <f>G156</f>
        <v>10000</v>
      </c>
      <c r="I156" s="374">
        <v>0</v>
      </c>
      <c r="J156" s="372">
        <f>I156*1.05</f>
        <v>0</v>
      </c>
      <c r="K156" s="372">
        <f>J156*1.05</f>
        <v>0</v>
      </c>
    </row>
    <row r="157" spans="1:11" ht="5.0999999999999996" customHeight="1" x14ac:dyDescent="0.25">
      <c r="A157" s="21"/>
      <c r="B157" s="237"/>
      <c r="C157" s="23"/>
      <c r="D157" s="23"/>
      <c r="E157" s="240"/>
      <c r="F157" s="241"/>
      <c r="G157" s="23"/>
      <c r="H157" s="22"/>
      <c r="I157" s="241"/>
      <c r="J157" s="23"/>
      <c r="K157" s="240"/>
    </row>
    <row r="158" spans="1:11" ht="13.15" customHeight="1" x14ac:dyDescent="0.25">
      <c r="A158" s="19" t="s">
        <v>968</v>
      </c>
      <c r="B158" s="237"/>
      <c r="C158" s="23">
        <f t="shared" ref="C158:K158" si="28">SUM(C159:C159)</f>
        <v>0</v>
      </c>
      <c r="D158" s="23">
        <f t="shared" si="28"/>
        <v>0</v>
      </c>
      <c r="E158" s="240">
        <f t="shared" si="28"/>
        <v>0</v>
      </c>
      <c r="F158" s="241">
        <f t="shared" si="28"/>
        <v>0</v>
      </c>
      <c r="G158" s="23">
        <f t="shared" si="28"/>
        <v>0</v>
      </c>
      <c r="H158" s="22">
        <f t="shared" si="28"/>
        <v>0</v>
      </c>
      <c r="I158" s="241">
        <f t="shared" si="28"/>
        <v>0</v>
      </c>
      <c r="J158" s="23">
        <f t="shared" si="28"/>
        <v>0</v>
      </c>
      <c r="K158" s="240">
        <f t="shared" si="28"/>
        <v>0</v>
      </c>
    </row>
    <row r="159" spans="1:11" ht="13.15" customHeight="1" x14ac:dyDescent="0.25">
      <c r="A159" s="20" t="s">
        <v>968</v>
      </c>
      <c r="B159" s="237"/>
      <c r="C159" s="372"/>
      <c r="D159" s="372"/>
      <c r="E159" s="373"/>
      <c r="F159" s="374"/>
      <c r="G159" s="372"/>
      <c r="H159" s="375"/>
      <c r="I159" s="374"/>
      <c r="J159" s="372"/>
      <c r="K159" s="373"/>
    </row>
    <row r="160" spans="1:11" ht="5.0999999999999996" customHeight="1" x14ac:dyDescent="0.25">
      <c r="A160" s="21"/>
      <c r="B160" s="237"/>
      <c r="C160" s="23"/>
      <c r="D160" s="23"/>
      <c r="E160" s="240"/>
      <c r="F160" s="241"/>
      <c r="G160" s="23"/>
      <c r="H160" s="22"/>
      <c r="I160" s="241"/>
      <c r="J160" s="23"/>
      <c r="K160" s="240"/>
    </row>
    <row r="161" spans="1:11" ht="13.15" customHeight="1" x14ac:dyDescent="0.25">
      <c r="A161" s="19" t="s">
        <v>983</v>
      </c>
      <c r="B161" s="237"/>
      <c r="C161" s="23">
        <f t="shared" ref="C161:K161" si="29">SUM(C162:C162)</f>
        <v>0</v>
      </c>
      <c r="D161" s="23">
        <f t="shared" si="29"/>
        <v>0</v>
      </c>
      <c r="E161" s="240">
        <f t="shared" si="29"/>
        <v>0</v>
      </c>
      <c r="F161" s="241">
        <f t="shared" si="29"/>
        <v>0</v>
      </c>
      <c r="G161" s="23">
        <f t="shared" si="29"/>
        <v>0</v>
      </c>
      <c r="H161" s="22">
        <f t="shared" si="29"/>
        <v>0</v>
      </c>
      <c r="I161" s="241">
        <f t="shared" si="29"/>
        <v>0</v>
      </c>
      <c r="J161" s="23">
        <f t="shared" si="29"/>
        <v>0</v>
      </c>
      <c r="K161" s="240">
        <f t="shared" si="29"/>
        <v>0</v>
      </c>
    </row>
    <row r="162" spans="1:11" ht="13.15" customHeight="1" x14ac:dyDescent="0.25">
      <c r="A162" s="20" t="s">
        <v>983</v>
      </c>
      <c r="B162" s="237"/>
      <c r="C162" s="372"/>
      <c r="D162" s="372"/>
      <c r="E162" s="373"/>
      <c r="F162" s="374"/>
      <c r="G162" s="372"/>
      <c r="H162" s="375"/>
      <c r="I162" s="374"/>
      <c r="J162" s="372"/>
      <c r="K162" s="373"/>
    </row>
    <row r="163" spans="1:11" ht="5.0999999999999996" customHeight="1" x14ac:dyDescent="0.25">
      <c r="A163" s="21"/>
      <c r="B163" s="237"/>
      <c r="C163" s="23"/>
      <c r="D163" s="23"/>
      <c r="E163" s="240"/>
      <c r="F163" s="241"/>
      <c r="G163" s="23"/>
      <c r="H163" s="22"/>
      <c r="I163" s="241"/>
      <c r="J163" s="23"/>
      <c r="K163" s="240"/>
    </row>
    <row r="164" spans="1:11" ht="13.15" customHeight="1" x14ac:dyDescent="0.25">
      <c r="A164" s="19" t="s">
        <v>969</v>
      </c>
      <c r="B164" s="237"/>
      <c r="C164" s="23">
        <f t="shared" ref="C164:K164" si="30">SUM(C165:C165)</f>
        <v>0</v>
      </c>
      <c r="D164" s="23">
        <f t="shared" si="30"/>
        <v>0</v>
      </c>
      <c r="E164" s="240">
        <f t="shared" si="30"/>
        <v>0</v>
      </c>
      <c r="F164" s="241">
        <f t="shared" si="30"/>
        <v>0</v>
      </c>
      <c r="G164" s="23">
        <f t="shared" si="30"/>
        <v>0</v>
      </c>
      <c r="H164" s="22">
        <f t="shared" si="30"/>
        <v>0</v>
      </c>
      <c r="I164" s="241">
        <f t="shared" si="30"/>
        <v>0</v>
      </c>
      <c r="J164" s="23">
        <f t="shared" si="30"/>
        <v>0</v>
      </c>
      <c r="K164" s="240">
        <f t="shared" si="30"/>
        <v>0</v>
      </c>
    </row>
    <row r="165" spans="1:11" ht="13.15" customHeight="1" x14ac:dyDescent="0.25">
      <c r="A165" s="20" t="s">
        <v>969</v>
      </c>
      <c r="B165" s="237"/>
      <c r="C165" s="372"/>
      <c r="D165" s="372"/>
      <c r="E165" s="373"/>
      <c r="F165" s="374"/>
      <c r="G165" s="372"/>
      <c r="H165" s="375"/>
      <c r="I165" s="374"/>
      <c r="J165" s="372"/>
      <c r="K165" s="373"/>
    </row>
    <row r="166" spans="1:11" ht="5.0999999999999996" customHeight="1" x14ac:dyDescent="0.25">
      <c r="A166" s="21"/>
      <c r="B166" s="237"/>
      <c r="C166" s="23"/>
      <c r="D166" s="23"/>
      <c r="E166" s="240"/>
      <c r="F166" s="241"/>
      <c r="G166" s="23"/>
      <c r="H166" s="22"/>
      <c r="I166" s="241"/>
      <c r="J166" s="23"/>
      <c r="K166" s="240"/>
    </row>
    <row r="167" spans="1:11" ht="13.15" customHeight="1" x14ac:dyDescent="0.25">
      <c r="A167" s="28" t="s">
        <v>970</v>
      </c>
      <c r="B167" s="376">
        <v>1</v>
      </c>
      <c r="C167" s="29">
        <f>C6+C74+C103+C110+C118+C136+C139+C149+C152+C155+C158+C161+C164</f>
        <v>4739919</v>
      </c>
      <c r="D167" s="29">
        <f t="shared" ref="D167:K167" si="31">D6+D74+D103+D110+D118+D136+D139+D149+D152+D155+D158+D161+D164</f>
        <v>5072747</v>
      </c>
      <c r="E167" s="377">
        <f t="shared" si="31"/>
        <v>4369154</v>
      </c>
      <c r="F167" s="378">
        <f t="shared" si="31"/>
        <v>497301</v>
      </c>
      <c r="G167" s="29">
        <f t="shared" si="31"/>
        <v>497301</v>
      </c>
      <c r="H167" s="379">
        <f t="shared" si="31"/>
        <v>497301</v>
      </c>
      <c r="I167" s="378">
        <f t="shared" si="31"/>
        <v>0</v>
      </c>
      <c r="J167" s="29">
        <f t="shared" si="31"/>
        <v>0</v>
      </c>
      <c r="K167" s="377">
        <f t="shared" si="31"/>
        <v>0</v>
      </c>
    </row>
    <row r="168" spans="1:11" ht="12.75" customHeight="1" x14ac:dyDescent="0.25">
      <c r="A168" s="31" t="str">
        <f>head27a</f>
        <v>References</v>
      </c>
      <c r="C168" s="35"/>
      <c r="D168" s="35"/>
      <c r="E168" s="35"/>
      <c r="F168" s="35"/>
      <c r="G168" s="35"/>
      <c r="H168" s="35"/>
      <c r="I168" s="35"/>
      <c r="J168" s="35"/>
      <c r="K168" s="35"/>
    </row>
    <row r="169" spans="1:11" ht="11.25" customHeight="1" x14ac:dyDescent="0.25">
      <c r="A169" s="41" t="s">
        <v>979</v>
      </c>
      <c r="C169" s="34"/>
      <c r="D169" s="34"/>
      <c r="E169" s="35"/>
      <c r="F169" s="35"/>
      <c r="G169" s="35"/>
      <c r="H169" s="35"/>
      <c r="I169" s="35"/>
      <c r="J169" s="35"/>
      <c r="K169" s="35"/>
    </row>
    <row r="170" spans="1:11" ht="11.25" customHeight="1" x14ac:dyDescent="0.25">
      <c r="C170" s="34"/>
      <c r="D170" s="34"/>
      <c r="E170" s="35"/>
      <c r="F170" s="35"/>
      <c r="G170" s="35"/>
      <c r="H170" s="35"/>
      <c r="I170" s="35"/>
      <c r="J170" s="35"/>
      <c r="K170" s="35"/>
    </row>
    <row r="171" spans="1:11" ht="11.25" customHeight="1" x14ac:dyDescent="0.25"/>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sheetData>
  <sheetProtection sheet="1" objects="1" scenarios="1"/>
  <phoneticPr fontId="2" type="noConversion"/>
  <printOptions horizontalCentered="1"/>
  <pageMargins left="0.37" right="0.14000000000000001" top="0.79" bottom="0.6" header="0.51181102362204722" footer="0.51"/>
  <pageSetup paperSize="9" scale="7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1">
    <tabColor rgb="FFCCFFCC"/>
    <pageSetUpPr fitToPage="1"/>
  </sheetPr>
  <dimension ref="A1:L205"/>
  <sheetViews>
    <sheetView showGridLines="0" zoomScaleNormal="100" workbookViewId="0">
      <pane xSplit="2" ySplit="3" topLeftCell="C130" activePane="bottomRight" state="frozen"/>
      <selection activeCell="A23" sqref="A23"/>
      <selection pane="topRight" activeCell="A23" sqref="A23"/>
      <selection pane="bottomLeft" activeCell="A23" sqref="A23"/>
      <selection pane="bottomRight" activeCell="A130" sqref="A130"/>
    </sheetView>
  </sheetViews>
  <sheetFormatPr defaultColWidth="9.140625" defaultRowHeight="12.75" x14ac:dyDescent="0.25"/>
  <cols>
    <col min="1" max="1" width="35.7109375" style="17" customWidth="1"/>
    <col min="2" max="2" width="3.140625" style="32" customWidth="1"/>
    <col min="3" max="11" width="8.7109375" style="17" customWidth="1"/>
    <col min="12" max="12" width="9.85546875" style="17" customWidth="1"/>
    <col min="13" max="13" width="9.5703125" style="17" customWidth="1"/>
    <col min="14" max="14" width="9.85546875" style="17" customWidth="1"/>
    <col min="15" max="17" width="9.5703125" style="17" customWidth="1"/>
    <col min="18" max="18" width="9.85546875" style="17" customWidth="1"/>
    <col min="19" max="21" width="9.5703125" style="17" customWidth="1"/>
    <col min="22" max="23" width="9.85546875" style="17" customWidth="1"/>
    <col min="24" max="16384" width="9.140625" style="17"/>
  </cols>
  <sheetData>
    <row r="1" spans="1:12" ht="13.5" x14ac:dyDescent="0.25">
      <c r="A1" s="88" t="str">
        <f>MEB9b</f>
        <v>Harry Gwala Development Agency (Pty) Ltd - Supporting Table SD7b Capital expenditure on renewal of existing assets by asset class</v>
      </c>
    </row>
    <row r="2" spans="1:12" ht="25.5" x14ac:dyDescent="0.25">
      <c r="A2" s="343" t="str">
        <f>desc</f>
        <v>Description</v>
      </c>
      <c r="B2" s="344" t="str">
        <f>head27</f>
        <v>Ref</v>
      </c>
      <c r="C2" s="85" t="str">
        <f>head1b</f>
        <v>2015/16</v>
      </c>
      <c r="D2" s="18" t="str">
        <f>head1A</f>
        <v>2016/17</v>
      </c>
      <c r="E2" s="80" t="str">
        <f>Head1</f>
        <v>2017/18</v>
      </c>
      <c r="F2" s="106" t="str">
        <f>Head2</f>
        <v>Current Year 2018/19</v>
      </c>
      <c r="G2" s="104"/>
      <c r="H2" s="105"/>
      <c r="I2" s="106" t="str">
        <f>Head3a</f>
        <v>Medium Term Revenue and Expenditure Framework</v>
      </c>
      <c r="J2" s="104"/>
      <c r="K2" s="105"/>
    </row>
    <row r="3" spans="1:12" ht="38.25" x14ac:dyDescent="0.25">
      <c r="A3" s="306" t="s">
        <v>826</v>
      </c>
      <c r="B3" s="251">
        <v>1</v>
      </c>
      <c r="C3" s="252" t="str">
        <f>Head5</f>
        <v>Audited Outcome</v>
      </c>
      <c r="D3" s="253" t="str">
        <f>Head5</f>
        <v>Audited Outcome</v>
      </c>
      <c r="E3" s="254" t="str">
        <f>Head5</f>
        <v>Audited Outcome</v>
      </c>
      <c r="F3" s="341" t="str">
        <f>Head6</f>
        <v>Original Budget</v>
      </c>
      <c r="G3" s="252" t="str">
        <f>Head7</f>
        <v>Adjusted Budget</v>
      </c>
      <c r="H3" s="342" t="str">
        <f>Head8</f>
        <v>Full Year Forecast</v>
      </c>
      <c r="I3" s="341" t="str">
        <f>Head9</f>
        <v>Budget Year 2019/20</v>
      </c>
      <c r="J3" s="252" t="str">
        <f>Head10</f>
        <v>Budget Year +1 2020/21</v>
      </c>
      <c r="K3" s="254" t="str">
        <f>Head11</f>
        <v>Budget Year +2 2021/22</v>
      </c>
    </row>
    <row r="4" spans="1:12" ht="12.75" customHeight="1" x14ac:dyDescent="0.25">
      <c r="A4" s="19" t="s">
        <v>829</v>
      </c>
      <c r="B4" s="345"/>
      <c r="C4" s="24"/>
      <c r="D4" s="23"/>
      <c r="E4" s="83"/>
      <c r="F4" s="24"/>
      <c r="G4" s="23"/>
      <c r="H4" s="83"/>
      <c r="I4" s="24"/>
      <c r="J4" s="23"/>
      <c r="K4" s="83"/>
    </row>
    <row r="5" spans="1:12" ht="5.0999999999999996" customHeight="1" x14ac:dyDescent="0.25">
      <c r="A5" s="19"/>
      <c r="B5" s="345"/>
      <c r="C5" s="24"/>
      <c r="D5" s="23"/>
      <c r="E5" s="83"/>
      <c r="F5" s="24"/>
      <c r="G5" s="23"/>
      <c r="H5" s="83"/>
      <c r="I5" s="24"/>
      <c r="J5" s="23"/>
      <c r="K5" s="83"/>
    </row>
    <row r="6" spans="1:12" ht="13.15" customHeight="1" x14ac:dyDescent="0.25">
      <c r="A6" s="19" t="s">
        <v>162</v>
      </c>
      <c r="B6" s="237"/>
      <c r="C6" s="26">
        <f>C7+C12+C16+C26+C37+C44+C52+C62+C68</f>
        <v>0</v>
      </c>
      <c r="D6" s="26">
        <f t="shared" ref="D6:K6" si="0">D7+D12+D16+D26+D37+D44+D52+D62+D68</f>
        <v>0</v>
      </c>
      <c r="E6" s="233">
        <f t="shared" si="0"/>
        <v>0</v>
      </c>
      <c r="F6" s="232">
        <f t="shared" si="0"/>
        <v>0</v>
      </c>
      <c r="G6" s="26">
        <f t="shared" si="0"/>
        <v>0</v>
      </c>
      <c r="H6" s="25">
        <f t="shared" si="0"/>
        <v>0</v>
      </c>
      <c r="I6" s="232">
        <f t="shared" si="0"/>
        <v>0</v>
      </c>
      <c r="J6" s="26">
        <f t="shared" si="0"/>
        <v>0</v>
      </c>
      <c r="K6" s="233">
        <f t="shared" si="0"/>
        <v>0</v>
      </c>
    </row>
    <row r="7" spans="1:12" s="352" customFormat="1" ht="13.15" customHeight="1" x14ac:dyDescent="0.25">
      <c r="A7" s="20" t="s">
        <v>858</v>
      </c>
      <c r="B7" s="237"/>
      <c r="C7" s="48">
        <f t="shared" ref="C7:K7" si="1">SUM(C8:C11)</f>
        <v>0</v>
      </c>
      <c r="D7" s="48">
        <f t="shared" si="1"/>
        <v>0</v>
      </c>
      <c r="E7" s="317">
        <f t="shared" si="1"/>
        <v>0</v>
      </c>
      <c r="F7" s="49">
        <f t="shared" si="1"/>
        <v>0</v>
      </c>
      <c r="G7" s="48">
        <f t="shared" si="1"/>
        <v>0</v>
      </c>
      <c r="H7" s="100">
        <f t="shared" si="1"/>
        <v>0</v>
      </c>
      <c r="I7" s="49">
        <f t="shared" si="1"/>
        <v>0</v>
      </c>
      <c r="J7" s="48">
        <f t="shared" si="1"/>
        <v>0</v>
      </c>
      <c r="K7" s="100">
        <f t="shared" si="1"/>
        <v>0</v>
      </c>
      <c r="L7" s="17"/>
    </row>
    <row r="8" spans="1:12" s="352" customFormat="1" ht="13.15" customHeight="1" x14ac:dyDescent="0.25">
      <c r="A8" s="238" t="s">
        <v>510</v>
      </c>
      <c r="B8" s="237"/>
      <c r="C8" s="354"/>
      <c r="D8" s="354"/>
      <c r="E8" s="355"/>
      <c r="F8" s="356"/>
      <c r="G8" s="354"/>
      <c r="H8" s="357"/>
      <c r="I8" s="356"/>
      <c r="J8" s="354"/>
      <c r="K8" s="355"/>
      <c r="L8" s="17"/>
    </row>
    <row r="9" spans="1:12" s="352" customFormat="1" ht="13.15" customHeight="1" x14ac:dyDescent="0.25">
      <c r="A9" s="238" t="s">
        <v>859</v>
      </c>
      <c r="B9" s="237"/>
      <c r="C9" s="354"/>
      <c r="D9" s="354"/>
      <c r="E9" s="355"/>
      <c r="F9" s="356"/>
      <c r="G9" s="354"/>
      <c r="H9" s="357"/>
      <c r="I9" s="356"/>
      <c r="J9" s="354"/>
      <c r="K9" s="355"/>
      <c r="L9" s="358"/>
    </row>
    <row r="10" spans="1:12" s="352" customFormat="1" ht="13.15" customHeight="1" x14ac:dyDescent="0.25">
      <c r="A10" s="238" t="s">
        <v>860</v>
      </c>
      <c r="B10" s="237"/>
      <c r="C10" s="354"/>
      <c r="D10" s="354"/>
      <c r="E10" s="355"/>
      <c r="F10" s="356"/>
      <c r="G10" s="354"/>
      <c r="H10" s="357"/>
      <c r="I10" s="356"/>
      <c r="J10" s="354"/>
      <c r="K10" s="355"/>
      <c r="L10" s="358"/>
    </row>
    <row r="11" spans="1:12" s="352" customFormat="1" ht="13.15" customHeight="1" x14ac:dyDescent="0.25">
      <c r="A11" s="238" t="s">
        <v>861</v>
      </c>
      <c r="B11" s="237"/>
      <c r="C11" s="354"/>
      <c r="D11" s="354"/>
      <c r="E11" s="355"/>
      <c r="F11" s="356"/>
      <c r="G11" s="354"/>
      <c r="H11" s="357"/>
      <c r="I11" s="356"/>
      <c r="J11" s="354"/>
      <c r="K11" s="355"/>
      <c r="L11" s="358"/>
    </row>
    <row r="12" spans="1:12" s="352" customFormat="1" ht="13.15" customHeight="1" x14ac:dyDescent="0.25">
      <c r="A12" s="20" t="s">
        <v>862</v>
      </c>
      <c r="B12" s="237"/>
      <c r="C12" s="23">
        <f>SUM(C13:C15)</f>
        <v>0</v>
      </c>
      <c r="D12" s="23">
        <f t="shared" ref="D12:K12" si="2">SUM(D13:D15)</f>
        <v>0</v>
      </c>
      <c r="E12" s="50">
        <f t="shared" si="2"/>
        <v>0</v>
      </c>
      <c r="F12" s="24">
        <f t="shared" si="2"/>
        <v>0</v>
      </c>
      <c r="G12" s="23">
        <f t="shared" si="2"/>
        <v>0</v>
      </c>
      <c r="H12" s="83">
        <f t="shared" si="2"/>
        <v>0</v>
      </c>
      <c r="I12" s="319">
        <f t="shared" si="2"/>
        <v>0</v>
      </c>
      <c r="J12" s="23">
        <f t="shared" si="2"/>
        <v>0</v>
      </c>
      <c r="K12" s="83">
        <f t="shared" si="2"/>
        <v>0</v>
      </c>
      <c r="L12" s="358"/>
    </row>
    <row r="13" spans="1:12" s="352" customFormat="1" ht="13.15" customHeight="1" x14ac:dyDescent="0.25">
      <c r="A13" s="238" t="s">
        <v>863</v>
      </c>
      <c r="B13" s="237"/>
      <c r="C13" s="354"/>
      <c r="D13" s="354"/>
      <c r="E13" s="359"/>
      <c r="F13" s="360"/>
      <c r="G13" s="354"/>
      <c r="H13" s="361"/>
      <c r="I13" s="362"/>
      <c r="J13" s="354"/>
      <c r="K13" s="361"/>
      <c r="L13" s="358"/>
    </row>
    <row r="14" spans="1:12" s="352" customFormat="1" ht="13.15" customHeight="1" x14ac:dyDescent="0.25">
      <c r="A14" s="238" t="s">
        <v>864</v>
      </c>
      <c r="B14" s="237"/>
      <c r="C14" s="354"/>
      <c r="D14" s="354"/>
      <c r="E14" s="359"/>
      <c r="F14" s="360"/>
      <c r="G14" s="354"/>
      <c r="H14" s="361"/>
      <c r="I14" s="362"/>
      <c r="J14" s="354"/>
      <c r="K14" s="361"/>
      <c r="L14" s="358"/>
    </row>
    <row r="15" spans="1:12" s="352" customFormat="1" ht="13.15" customHeight="1" x14ac:dyDescent="0.25">
      <c r="A15" s="238" t="s">
        <v>865</v>
      </c>
      <c r="B15" s="237"/>
      <c r="C15" s="354"/>
      <c r="D15" s="354"/>
      <c r="E15" s="359"/>
      <c r="F15" s="360"/>
      <c r="G15" s="354"/>
      <c r="H15" s="361"/>
      <c r="I15" s="362"/>
      <c r="J15" s="354"/>
      <c r="K15" s="361"/>
      <c r="L15" s="358"/>
    </row>
    <row r="16" spans="1:12" s="352" customFormat="1" ht="13.15" customHeight="1" x14ac:dyDescent="0.25">
      <c r="A16" s="20" t="s">
        <v>866</v>
      </c>
      <c r="B16" s="237"/>
      <c r="C16" s="23">
        <f t="shared" ref="C16:K16" si="3">SUM(C17:C25)</f>
        <v>0</v>
      </c>
      <c r="D16" s="23">
        <f t="shared" si="3"/>
        <v>0</v>
      </c>
      <c r="E16" s="50">
        <f t="shared" si="3"/>
        <v>0</v>
      </c>
      <c r="F16" s="24">
        <f t="shared" si="3"/>
        <v>0</v>
      </c>
      <c r="G16" s="23">
        <f t="shared" si="3"/>
        <v>0</v>
      </c>
      <c r="H16" s="83">
        <f t="shared" si="3"/>
        <v>0</v>
      </c>
      <c r="I16" s="319">
        <f t="shared" si="3"/>
        <v>0</v>
      </c>
      <c r="J16" s="23">
        <f t="shared" si="3"/>
        <v>0</v>
      </c>
      <c r="K16" s="83">
        <f t="shared" si="3"/>
        <v>0</v>
      </c>
      <c r="L16" s="358"/>
    </row>
    <row r="17" spans="1:12" s="352" customFormat="1" ht="13.15" customHeight="1" x14ac:dyDescent="0.25">
      <c r="A17" s="238" t="s">
        <v>867</v>
      </c>
      <c r="B17" s="237"/>
      <c r="C17" s="354"/>
      <c r="D17" s="354"/>
      <c r="E17" s="359"/>
      <c r="F17" s="360"/>
      <c r="G17" s="354"/>
      <c r="H17" s="361"/>
      <c r="I17" s="362"/>
      <c r="J17" s="354"/>
      <c r="K17" s="361"/>
      <c r="L17" s="358"/>
    </row>
    <row r="18" spans="1:12" s="352" customFormat="1" ht="13.15" customHeight="1" x14ac:dyDescent="0.25">
      <c r="A18" s="238" t="s">
        <v>868</v>
      </c>
      <c r="B18" s="237"/>
      <c r="C18" s="354"/>
      <c r="D18" s="354"/>
      <c r="E18" s="359"/>
      <c r="F18" s="360"/>
      <c r="G18" s="354"/>
      <c r="H18" s="361"/>
      <c r="I18" s="362"/>
      <c r="J18" s="354"/>
      <c r="K18" s="361"/>
      <c r="L18" s="358"/>
    </row>
    <row r="19" spans="1:12" s="352" customFormat="1" ht="13.15" customHeight="1" x14ac:dyDescent="0.25">
      <c r="A19" s="238" t="s">
        <v>869</v>
      </c>
      <c r="B19" s="237"/>
      <c r="C19" s="354"/>
      <c r="D19" s="354"/>
      <c r="E19" s="359"/>
      <c r="F19" s="360"/>
      <c r="G19" s="354"/>
      <c r="H19" s="361"/>
      <c r="I19" s="362"/>
      <c r="J19" s="354"/>
      <c r="K19" s="361"/>
      <c r="L19" s="358"/>
    </row>
    <row r="20" spans="1:12" s="352" customFormat="1" ht="13.15" customHeight="1" x14ac:dyDescent="0.25">
      <c r="A20" s="238" t="s">
        <v>870</v>
      </c>
      <c r="B20" s="237"/>
      <c r="C20" s="354"/>
      <c r="D20" s="354"/>
      <c r="E20" s="359"/>
      <c r="F20" s="360"/>
      <c r="G20" s="354"/>
      <c r="H20" s="361"/>
      <c r="I20" s="362"/>
      <c r="J20" s="354"/>
      <c r="K20" s="361"/>
      <c r="L20" s="358"/>
    </row>
    <row r="21" spans="1:12" s="352" customFormat="1" ht="13.15" customHeight="1" x14ac:dyDescent="0.25">
      <c r="A21" s="238" t="s">
        <v>871</v>
      </c>
      <c r="B21" s="237"/>
      <c r="C21" s="354"/>
      <c r="D21" s="354"/>
      <c r="E21" s="359"/>
      <c r="F21" s="360"/>
      <c r="G21" s="354"/>
      <c r="H21" s="361"/>
      <c r="I21" s="362"/>
      <c r="J21" s="354"/>
      <c r="K21" s="361"/>
      <c r="L21" s="358"/>
    </row>
    <row r="22" spans="1:12" s="352" customFormat="1" ht="13.15" customHeight="1" x14ac:dyDescent="0.25">
      <c r="A22" s="238" t="s">
        <v>872</v>
      </c>
      <c r="B22" s="237"/>
      <c r="C22" s="354"/>
      <c r="D22" s="354"/>
      <c r="E22" s="359"/>
      <c r="F22" s="360"/>
      <c r="G22" s="354"/>
      <c r="H22" s="361"/>
      <c r="I22" s="362"/>
      <c r="J22" s="354"/>
      <c r="K22" s="361"/>
      <c r="L22" s="17"/>
    </row>
    <row r="23" spans="1:12" s="352" customFormat="1" ht="13.15" customHeight="1" x14ac:dyDescent="0.25">
      <c r="A23" s="238" t="s">
        <v>873</v>
      </c>
      <c r="B23" s="237"/>
      <c r="C23" s="354"/>
      <c r="D23" s="354"/>
      <c r="E23" s="359"/>
      <c r="F23" s="360"/>
      <c r="G23" s="354"/>
      <c r="H23" s="361"/>
      <c r="I23" s="362"/>
      <c r="J23" s="354"/>
      <c r="K23" s="361"/>
      <c r="L23" s="358"/>
    </row>
    <row r="24" spans="1:12" s="352" customFormat="1" ht="13.15" customHeight="1" x14ac:dyDescent="0.25">
      <c r="A24" s="238" t="s">
        <v>874</v>
      </c>
      <c r="B24" s="237"/>
      <c r="C24" s="354"/>
      <c r="D24" s="354"/>
      <c r="E24" s="359"/>
      <c r="F24" s="360"/>
      <c r="G24" s="354"/>
      <c r="H24" s="361"/>
      <c r="I24" s="362"/>
      <c r="J24" s="354"/>
      <c r="K24" s="361"/>
      <c r="L24" s="358"/>
    </row>
    <row r="25" spans="1:12" s="352" customFormat="1" ht="13.15" customHeight="1" x14ac:dyDescent="0.25">
      <c r="A25" s="238" t="s">
        <v>861</v>
      </c>
      <c r="B25" s="237"/>
      <c r="C25" s="354"/>
      <c r="D25" s="354"/>
      <c r="E25" s="359"/>
      <c r="F25" s="360"/>
      <c r="G25" s="354"/>
      <c r="H25" s="361"/>
      <c r="I25" s="362"/>
      <c r="J25" s="354"/>
      <c r="K25" s="361"/>
      <c r="L25" s="358"/>
    </row>
    <row r="26" spans="1:12" ht="13.15" customHeight="1" x14ac:dyDescent="0.25">
      <c r="A26" s="20" t="s">
        <v>875</v>
      </c>
      <c r="B26" s="237"/>
      <c r="C26" s="23">
        <f>SUM(C27:C36)</f>
        <v>0</v>
      </c>
      <c r="D26" s="23">
        <f t="shared" ref="D26:K26" si="4">SUM(D27:D36)</f>
        <v>0</v>
      </c>
      <c r="E26" s="50">
        <f t="shared" si="4"/>
        <v>0</v>
      </c>
      <c r="F26" s="24">
        <f t="shared" si="4"/>
        <v>0</v>
      </c>
      <c r="G26" s="23">
        <f t="shared" si="4"/>
        <v>0</v>
      </c>
      <c r="H26" s="83">
        <f t="shared" si="4"/>
        <v>0</v>
      </c>
      <c r="I26" s="319">
        <f t="shared" si="4"/>
        <v>0</v>
      </c>
      <c r="J26" s="23">
        <f t="shared" si="4"/>
        <v>0</v>
      </c>
      <c r="K26" s="83">
        <f t="shared" si="4"/>
        <v>0</v>
      </c>
    </row>
    <row r="27" spans="1:12" ht="13.15" customHeight="1" x14ac:dyDescent="0.25">
      <c r="A27" s="238" t="s">
        <v>876</v>
      </c>
      <c r="B27" s="237"/>
      <c r="C27" s="354"/>
      <c r="D27" s="354"/>
      <c r="E27" s="359"/>
      <c r="F27" s="360"/>
      <c r="G27" s="354"/>
      <c r="H27" s="361"/>
      <c r="I27" s="362"/>
      <c r="J27" s="354"/>
      <c r="K27" s="361"/>
    </row>
    <row r="28" spans="1:12" ht="13.15" customHeight="1" x14ac:dyDescent="0.25">
      <c r="A28" s="238" t="s">
        <v>877</v>
      </c>
      <c r="B28" s="237"/>
      <c r="C28" s="354"/>
      <c r="D28" s="354"/>
      <c r="E28" s="359"/>
      <c r="F28" s="360"/>
      <c r="G28" s="354"/>
      <c r="H28" s="361"/>
      <c r="I28" s="362"/>
      <c r="J28" s="354"/>
      <c r="K28" s="361"/>
      <c r="L28" s="358"/>
    </row>
    <row r="29" spans="1:12" ht="13.15" customHeight="1" x14ac:dyDescent="0.25">
      <c r="A29" s="238" t="s">
        <v>878</v>
      </c>
      <c r="B29" s="237"/>
      <c r="C29" s="354"/>
      <c r="D29" s="354"/>
      <c r="E29" s="359"/>
      <c r="F29" s="360"/>
      <c r="G29" s="354"/>
      <c r="H29" s="361"/>
      <c r="I29" s="362"/>
      <c r="J29" s="354"/>
      <c r="K29" s="361"/>
      <c r="L29" s="358"/>
    </row>
    <row r="30" spans="1:12" ht="13.15" customHeight="1" x14ac:dyDescent="0.25">
      <c r="A30" s="238" t="s">
        <v>879</v>
      </c>
      <c r="B30" s="237"/>
      <c r="C30" s="354"/>
      <c r="D30" s="354"/>
      <c r="E30" s="359"/>
      <c r="F30" s="360"/>
      <c r="G30" s="354"/>
      <c r="H30" s="361"/>
      <c r="I30" s="362"/>
      <c r="J30" s="354"/>
      <c r="K30" s="361"/>
      <c r="L30" s="358"/>
    </row>
    <row r="31" spans="1:12" ht="13.15" customHeight="1" x14ac:dyDescent="0.25">
      <c r="A31" s="238" t="s">
        <v>880</v>
      </c>
      <c r="B31" s="237"/>
      <c r="C31" s="354"/>
      <c r="D31" s="354"/>
      <c r="E31" s="359"/>
      <c r="F31" s="360"/>
      <c r="G31" s="354"/>
      <c r="H31" s="361"/>
      <c r="I31" s="362"/>
      <c r="J31" s="354"/>
      <c r="K31" s="361"/>
      <c r="L31" s="358"/>
    </row>
    <row r="32" spans="1:12" ht="13.15" customHeight="1" x14ac:dyDescent="0.25">
      <c r="A32" s="238" t="s">
        <v>881</v>
      </c>
      <c r="B32" s="237"/>
      <c r="C32" s="354"/>
      <c r="D32" s="354"/>
      <c r="E32" s="359"/>
      <c r="F32" s="360"/>
      <c r="G32" s="354"/>
      <c r="H32" s="361"/>
      <c r="I32" s="362"/>
      <c r="J32" s="354"/>
      <c r="K32" s="361"/>
      <c r="L32" s="358"/>
    </row>
    <row r="33" spans="1:12" ht="13.15" customHeight="1" x14ac:dyDescent="0.25">
      <c r="A33" s="238" t="s">
        <v>882</v>
      </c>
      <c r="B33" s="237"/>
      <c r="C33" s="354"/>
      <c r="D33" s="354"/>
      <c r="E33" s="359"/>
      <c r="F33" s="360"/>
      <c r="G33" s="354"/>
      <c r="H33" s="361"/>
      <c r="I33" s="362"/>
      <c r="J33" s="354"/>
      <c r="K33" s="361"/>
      <c r="L33" s="358"/>
    </row>
    <row r="34" spans="1:12" ht="13.15" customHeight="1" x14ac:dyDescent="0.25">
      <c r="A34" s="238" t="s">
        <v>883</v>
      </c>
      <c r="B34" s="237"/>
      <c r="C34" s="354"/>
      <c r="D34" s="354"/>
      <c r="E34" s="359"/>
      <c r="F34" s="360"/>
      <c r="G34" s="354"/>
      <c r="H34" s="361"/>
      <c r="I34" s="362"/>
      <c r="J34" s="354"/>
      <c r="K34" s="361"/>
      <c r="L34" s="358"/>
    </row>
    <row r="35" spans="1:12" ht="13.15" customHeight="1" x14ac:dyDescent="0.25">
      <c r="A35" s="238" t="s">
        <v>884</v>
      </c>
      <c r="B35" s="237"/>
      <c r="C35" s="354"/>
      <c r="D35" s="354"/>
      <c r="E35" s="359"/>
      <c r="F35" s="360"/>
      <c r="G35" s="354"/>
      <c r="H35" s="361"/>
      <c r="I35" s="362"/>
      <c r="J35" s="354"/>
      <c r="K35" s="361"/>
      <c r="L35" s="358"/>
    </row>
    <row r="36" spans="1:12" ht="13.15" customHeight="1" x14ac:dyDescent="0.25">
      <c r="A36" s="238" t="s">
        <v>861</v>
      </c>
      <c r="B36" s="237"/>
      <c r="C36" s="354"/>
      <c r="D36" s="354"/>
      <c r="E36" s="359"/>
      <c r="F36" s="360"/>
      <c r="G36" s="354"/>
      <c r="H36" s="361"/>
      <c r="I36" s="362"/>
      <c r="J36" s="354"/>
      <c r="K36" s="361"/>
      <c r="L36" s="358"/>
    </row>
    <row r="37" spans="1:12" ht="13.15" customHeight="1" x14ac:dyDescent="0.25">
      <c r="A37" s="20" t="s">
        <v>885</v>
      </c>
      <c r="B37" s="237"/>
      <c r="C37" s="23">
        <f>SUM(C38:C43)</f>
        <v>0</v>
      </c>
      <c r="D37" s="23">
        <f t="shared" ref="D37:K37" si="5">SUM(D38:D43)</f>
        <v>0</v>
      </c>
      <c r="E37" s="50">
        <f t="shared" si="5"/>
        <v>0</v>
      </c>
      <c r="F37" s="24">
        <f t="shared" si="5"/>
        <v>0</v>
      </c>
      <c r="G37" s="23">
        <f t="shared" si="5"/>
        <v>0</v>
      </c>
      <c r="H37" s="83">
        <f t="shared" si="5"/>
        <v>0</v>
      </c>
      <c r="I37" s="319">
        <f t="shared" si="5"/>
        <v>0</v>
      </c>
      <c r="J37" s="23">
        <f t="shared" si="5"/>
        <v>0</v>
      </c>
      <c r="K37" s="83">
        <f t="shared" si="5"/>
        <v>0</v>
      </c>
      <c r="L37" s="358"/>
    </row>
    <row r="38" spans="1:12" ht="13.15" customHeight="1" x14ac:dyDescent="0.25">
      <c r="A38" s="238" t="s">
        <v>886</v>
      </c>
      <c r="B38" s="237"/>
      <c r="C38" s="354"/>
      <c r="D38" s="354"/>
      <c r="E38" s="359"/>
      <c r="F38" s="360"/>
      <c r="G38" s="354"/>
      <c r="H38" s="361"/>
      <c r="I38" s="362"/>
      <c r="J38" s="354"/>
      <c r="K38" s="361"/>
      <c r="L38" s="358"/>
    </row>
    <row r="39" spans="1:12" ht="13.15" customHeight="1" x14ac:dyDescent="0.25">
      <c r="A39" s="238" t="s">
        <v>500</v>
      </c>
      <c r="B39" s="237"/>
      <c r="C39" s="354"/>
      <c r="D39" s="354"/>
      <c r="E39" s="359"/>
      <c r="F39" s="360"/>
      <c r="G39" s="354"/>
      <c r="H39" s="361"/>
      <c r="I39" s="362"/>
      <c r="J39" s="354"/>
      <c r="K39" s="361"/>
      <c r="L39" s="358"/>
    </row>
    <row r="40" spans="1:12" ht="13.15" customHeight="1" x14ac:dyDescent="0.25">
      <c r="A40" s="238" t="s">
        <v>887</v>
      </c>
      <c r="B40" s="237"/>
      <c r="C40" s="354"/>
      <c r="D40" s="354"/>
      <c r="E40" s="359"/>
      <c r="F40" s="360"/>
      <c r="G40" s="354"/>
      <c r="H40" s="361"/>
      <c r="I40" s="362"/>
      <c r="J40" s="354"/>
      <c r="K40" s="361"/>
    </row>
    <row r="41" spans="1:12" ht="13.15" customHeight="1" x14ac:dyDescent="0.25">
      <c r="A41" s="238" t="s">
        <v>888</v>
      </c>
      <c r="B41" s="237"/>
      <c r="C41" s="354"/>
      <c r="D41" s="354"/>
      <c r="E41" s="359"/>
      <c r="F41" s="360"/>
      <c r="G41" s="354"/>
      <c r="H41" s="361"/>
      <c r="I41" s="362"/>
      <c r="J41" s="354"/>
      <c r="K41" s="361"/>
      <c r="L41" s="358"/>
    </row>
    <row r="42" spans="1:12" ht="13.15" customHeight="1" x14ac:dyDescent="0.25">
      <c r="A42" s="238" t="s">
        <v>889</v>
      </c>
      <c r="B42" s="237"/>
      <c r="C42" s="354"/>
      <c r="D42" s="354"/>
      <c r="E42" s="359"/>
      <c r="F42" s="360"/>
      <c r="G42" s="354"/>
      <c r="H42" s="361"/>
      <c r="I42" s="362"/>
      <c r="J42" s="354"/>
      <c r="K42" s="361"/>
    </row>
    <row r="43" spans="1:12" ht="13.15" customHeight="1" x14ac:dyDescent="0.25">
      <c r="A43" s="238" t="s">
        <v>861</v>
      </c>
      <c r="B43" s="237"/>
      <c r="C43" s="354"/>
      <c r="D43" s="354"/>
      <c r="E43" s="359"/>
      <c r="F43" s="360"/>
      <c r="G43" s="354"/>
      <c r="H43" s="361"/>
      <c r="I43" s="362"/>
      <c r="J43" s="354"/>
      <c r="K43" s="361"/>
    </row>
    <row r="44" spans="1:12" ht="13.15" customHeight="1" x14ac:dyDescent="0.25">
      <c r="A44" s="20" t="s">
        <v>890</v>
      </c>
      <c r="B44" s="237"/>
      <c r="C44" s="23">
        <f>SUM(C45:C51)</f>
        <v>0</v>
      </c>
      <c r="D44" s="23">
        <f t="shared" ref="D44:K44" si="6">SUM(D45:D51)</f>
        <v>0</v>
      </c>
      <c r="E44" s="50">
        <f t="shared" si="6"/>
        <v>0</v>
      </c>
      <c r="F44" s="24">
        <f t="shared" si="6"/>
        <v>0</v>
      </c>
      <c r="G44" s="23">
        <f t="shared" si="6"/>
        <v>0</v>
      </c>
      <c r="H44" s="83">
        <f t="shared" si="6"/>
        <v>0</v>
      </c>
      <c r="I44" s="319">
        <f t="shared" si="6"/>
        <v>0</v>
      </c>
      <c r="J44" s="23">
        <f t="shared" si="6"/>
        <v>0</v>
      </c>
      <c r="K44" s="83">
        <f t="shared" si="6"/>
        <v>0</v>
      </c>
    </row>
    <row r="45" spans="1:12" ht="13.15" customHeight="1" x14ac:dyDescent="0.25">
      <c r="A45" s="238" t="s">
        <v>891</v>
      </c>
      <c r="B45" s="237"/>
      <c r="C45" s="354"/>
      <c r="D45" s="354"/>
      <c r="E45" s="359"/>
      <c r="F45" s="360"/>
      <c r="G45" s="354"/>
      <c r="H45" s="361"/>
      <c r="I45" s="362"/>
      <c r="J45" s="354"/>
      <c r="K45" s="361"/>
    </row>
    <row r="46" spans="1:12" ht="13.15" customHeight="1" x14ac:dyDescent="0.25">
      <c r="A46" s="238" t="s">
        <v>892</v>
      </c>
      <c r="B46" s="237"/>
      <c r="C46" s="354"/>
      <c r="D46" s="354"/>
      <c r="E46" s="359"/>
      <c r="F46" s="360"/>
      <c r="G46" s="354"/>
      <c r="H46" s="361"/>
      <c r="I46" s="362"/>
      <c r="J46" s="354"/>
      <c r="K46" s="361"/>
    </row>
    <row r="47" spans="1:12" ht="13.15" customHeight="1" x14ac:dyDescent="0.25">
      <c r="A47" s="238" t="s">
        <v>893</v>
      </c>
      <c r="B47" s="237"/>
      <c r="C47" s="354"/>
      <c r="D47" s="354"/>
      <c r="E47" s="359"/>
      <c r="F47" s="360"/>
      <c r="G47" s="354"/>
      <c r="H47" s="361"/>
      <c r="I47" s="362"/>
      <c r="J47" s="354"/>
      <c r="K47" s="361"/>
    </row>
    <row r="48" spans="1:12" ht="13.15" customHeight="1" x14ac:dyDescent="0.25">
      <c r="A48" s="238" t="s">
        <v>894</v>
      </c>
      <c r="B48" s="237"/>
      <c r="C48" s="354"/>
      <c r="D48" s="354"/>
      <c r="E48" s="359"/>
      <c r="F48" s="360"/>
      <c r="G48" s="354"/>
      <c r="H48" s="361"/>
      <c r="I48" s="362"/>
      <c r="J48" s="354"/>
      <c r="K48" s="361"/>
      <c r="L48" s="358"/>
    </row>
    <row r="49" spans="1:12" ht="13.15" customHeight="1" x14ac:dyDescent="0.25">
      <c r="A49" s="238" t="s">
        <v>895</v>
      </c>
      <c r="B49" s="237"/>
      <c r="C49" s="354"/>
      <c r="D49" s="354"/>
      <c r="E49" s="359"/>
      <c r="F49" s="360"/>
      <c r="G49" s="354"/>
      <c r="H49" s="361"/>
      <c r="I49" s="362"/>
      <c r="J49" s="354"/>
      <c r="K49" s="361"/>
    </row>
    <row r="50" spans="1:12" ht="13.15" customHeight="1" x14ac:dyDescent="0.25">
      <c r="A50" s="238" t="s">
        <v>896</v>
      </c>
      <c r="B50" s="237"/>
      <c r="C50" s="354"/>
      <c r="D50" s="354"/>
      <c r="E50" s="359"/>
      <c r="F50" s="360"/>
      <c r="G50" s="354"/>
      <c r="H50" s="361"/>
      <c r="I50" s="362"/>
      <c r="J50" s="354"/>
      <c r="K50" s="361"/>
    </row>
    <row r="51" spans="1:12" ht="13.15" customHeight="1" x14ac:dyDescent="0.25">
      <c r="A51" s="238" t="s">
        <v>861</v>
      </c>
      <c r="B51" s="237"/>
      <c r="C51" s="354"/>
      <c r="D51" s="354"/>
      <c r="E51" s="359"/>
      <c r="F51" s="360"/>
      <c r="G51" s="354"/>
      <c r="H51" s="361"/>
      <c r="I51" s="362"/>
      <c r="J51" s="354"/>
      <c r="K51" s="361"/>
    </row>
    <row r="52" spans="1:12" ht="13.15" customHeight="1" x14ac:dyDescent="0.25">
      <c r="A52" s="20" t="s">
        <v>897</v>
      </c>
      <c r="B52" s="237"/>
      <c r="C52" s="23">
        <f t="shared" ref="C52:K52" si="7">SUM(C53:C61)</f>
        <v>0</v>
      </c>
      <c r="D52" s="23">
        <f t="shared" si="7"/>
        <v>0</v>
      </c>
      <c r="E52" s="50">
        <f t="shared" si="7"/>
        <v>0</v>
      </c>
      <c r="F52" s="24">
        <f t="shared" si="7"/>
        <v>0</v>
      </c>
      <c r="G52" s="23">
        <f t="shared" si="7"/>
        <v>0</v>
      </c>
      <c r="H52" s="83">
        <f t="shared" si="7"/>
        <v>0</v>
      </c>
      <c r="I52" s="319">
        <f t="shared" si="7"/>
        <v>0</v>
      </c>
      <c r="J52" s="23">
        <f t="shared" si="7"/>
        <v>0</v>
      </c>
      <c r="K52" s="83">
        <f t="shared" si="7"/>
        <v>0</v>
      </c>
      <c r="L52" s="358"/>
    </row>
    <row r="53" spans="1:12" ht="13.15" customHeight="1" x14ac:dyDescent="0.25">
      <c r="A53" s="238" t="s">
        <v>898</v>
      </c>
      <c r="B53" s="237"/>
      <c r="C53" s="354"/>
      <c r="D53" s="354"/>
      <c r="E53" s="359"/>
      <c r="F53" s="360"/>
      <c r="G53" s="354"/>
      <c r="H53" s="361"/>
      <c r="I53" s="362"/>
      <c r="J53" s="354"/>
      <c r="K53" s="361"/>
    </row>
    <row r="54" spans="1:12" ht="13.15" customHeight="1" x14ac:dyDescent="0.25">
      <c r="A54" s="238" t="s">
        <v>899</v>
      </c>
      <c r="B54" s="237"/>
      <c r="C54" s="354"/>
      <c r="D54" s="354"/>
      <c r="E54" s="359"/>
      <c r="F54" s="360"/>
      <c r="G54" s="354"/>
      <c r="H54" s="361"/>
      <c r="I54" s="362"/>
      <c r="J54" s="354"/>
      <c r="K54" s="361"/>
      <c r="L54" s="358"/>
    </row>
    <row r="55" spans="1:12" ht="13.15" customHeight="1" x14ac:dyDescent="0.25">
      <c r="A55" s="238" t="s">
        <v>900</v>
      </c>
      <c r="B55" s="237"/>
      <c r="C55" s="354"/>
      <c r="D55" s="354"/>
      <c r="E55" s="359"/>
      <c r="F55" s="360"/>
      <c r="G55" s="354"/>
      <c r="H55" s="361"/>
      <c r="I55" s="362"/>
      <c r="J55" s="354"/>
      <c r="K55" s="361"/>
      <c r="L55" s="358"/>
    </row>
    <row r="56" spans="1:12" ht="13.15" customHeight="1" x14ac:dyDescent="0.25">
      <c r="A56" s="238" t="s">
        <v>863</v>
      </c>
      <c r="B56" s="237"/>
      <c r="C56" s="354"/>
      <c r="D56" s="354"/>
      <c r="E56" s="359"/>
      <c r="F56" s="360"/>
      <c r="G56" s="354"/>
      <c r="H56" s="361"/>
      <c r="I56" s="362"/>
      <c r="J56" s="354"/>
      <c r="K56" s="361"/>
      <c r="L56" s="358"/>
    </row>
    <row r="57" spans="1:12" ht="13.15" customHeight="1" x14ac:dyDescent="0.25">
      <c r="A57" s="238" t="s">
        <v>864</v>
      </c>
      <c r="B57" s="237"/>
      <c r="C57" s="354"/>
      <c r="D57" s="354"/>
      <c r="E57" s="359"/>
      <c r="F57" s="360"/>
      <c r="G57" s="354"/>
      <c r="H57" s="361"/>
      <c r="I57" s="362"/>
      <c r="J57" s="354"/>
      <c r="K57" s="361"/>
      <c r="L57" s="358"/>
    </row>
    <row r="58" spans="1:12" ht="13.15" customHeight="1" x14ac:dyDescent="0.25">
      <c r="A58" s="238" t="s">
        <v>865</v>
      </c>
      <c r="B58" s="237"/>
      <c r="C58" s="354"/>
      <c r="D58" s="354"/>
      <c r="E58" s="359"/>
      <c r="F58" s="360"/>
      <c r="G58" s="354"/>
      <c r="H58" s="361"/>
      <c r="I58" s="362"/>
      <c r="J58" s="354"/>
      <c r="K58" s="361"/>
    </row>
    <row r="59" spans="1:12" ht="13.15" customHeight="1" x14ac:dyDescent="0.25">
      <c r="A59" s="238" t="s">
        <v>871</v>
      </c>
      <c r="B59" s="237"/>
      <c r="C59" s="354"/>
      <c r="D59" s="354"/>
      <c r="E59" s="359"/>
      <c r="F59" s="360"/>
      <c r="G59" s="354"/>
      <c r="H59" s="361"/>
      <c r="I59" s="362"/>
      <c r="J59" s="354"/>
      <c r="K59" s="361"/>
      <c r="L59" s="358"/>
    </row>
    <row r="60" spans="1:12" ht="13.15" customHeight="1" x14ac:dyDescent="0.25">
      <c r="A60" s="238" t="s">
        <v>874</v>
      </c>
      <c r="B60" s="237"/>
      <c r="C60" s="354"/>
      <c r="D60" s="354"/>
      <c r="E60" s="359"/>
      <c r="F60" s="360"/>
      <c r="G60" s="354"/>
      <c r="H60" s="361"/>
      <c r="I60" s="362"/>
      <c r="J60" s="354"/>
      <c r="K60" s="361"/>
      <c r="L60" s="358"/>
    </row>
    <row r="61" spans="1:12" ht="13.15" customHeight="1" x14ac:dyDescent="0.25">
      <c r="A61" s="238" t="s">
        <v>861</v>
      </c>
      <c r="B61" s="237"/>
      <c r="C61" s="354"/>
      <c r="D61" s="354"/>
      <c r="E61" s="359"/>
      <c r="F61" s="360"/>
      <c r="G61" s="354"/>
      <c r="H61" s="361"/>
      <c r="I61" s="362"/>
      <c r="J61" s="354"/>
      <c r="K61" s="361"/>
      <c r="L61" s="358"/>
    </row>
    <row r="62" spans="1:12" ht="13.15" customHeight="1" x14ac:dyDescent="0.25">
      <c r="A62" s="20" t="s">
        <v>901</v>
      </c>
      <c r="B62" s="237"/>
      <c r="C62" s="23">
        <f>SUM(C63:C67)</f>
        <v>0</v>
      </c>
      <c r="D62" s="23">
        <f t="shared" ref="D62:K62" si="8">SUM(D63:D67)</f>
        <v>0</v>
      </c>
      <c r="E62" s="50">
        <f t="shared" si="8"/>
        <v>0</v>
      </c>
      <c r="F62" s="24">
        <f t="shared" si="8"/>
        <v>0</v>
      </c>
      <c r="G62" s="23">
        <f t="shared" si="8"/>
        <v>0</v>
      </c>
      <c r="H62" s="83">
        <f t="shared" si="8"/>
        <v>0</v>
      </c>
      <c r="I62" s="319">
        <f t="shared" si="8"/>
        <v>0</v>
      </c>
      <c r="J62" s="23">
        <f t="shared" si="8"/>
        <v>0</v>
      </c>
      <c r="K62" s="83">
        <f t="shared" si="8"/>
        <v>0</v>
      </c>
      <c r="L62" s="358"/>
    </row>
    <row r="63" spans="1:12" ht="13.15" customHeight="1" x14ac:dyDescent="0.25">
      <c r="A63" s="238" t="s">
        <v>902</v>
      </c>
      <c r="B63" s="237"/>
      <c r="C63" s="354"/>
      <c r="D63" s="354"/>
      <c r="E63" s="359"/>
      <c r="F63" s="360"/>
      <c r="G63" s="354"/>
      <c r="H63" s="361"/>
      <c r="I63" s="362"/>
      <c r="J63" s="354"/>
      <c r="K63" s="361"/>
      <c r="L63" s="358"/>
    </row>
    <row r="64" spans="1:12" ht="13.15" customHeight="1" x14ac:dyDescent="0.25">
      <c r="A64" s="238" t="s">
        <v>903</v>
      </c>
      <c r="B64" s="237"/>
      <c r="C64" s="354"/>
      <c r="D64" s="354"/>
      <c r="E64" s="359"/>
      <c r="F64" s="360"/>
      <c r="G64" s="354"/>
      <c r="H64" s="361"/>
      <c r="I64" s="362"/>
      <c r="J64" s="354"/>
      <c r="K64" s="361"/>
    </row>
    <row r="65" spans="1:11" ht="13.15" customHeight="1" x14ac:dyDescent="0.25">
      <c r="A65" s="238" t="s">
        <v>904</v>
      </c>
      <c r="B65" s="237"/>
      <c r="C65" s="354"/>
      <c r="D65" s="354"/>
      <c r="E65" s="359"/>
      <c r="F65" s="360"/>
      <c r="G65" s="354"/>
      <c r="H65" s="361"/>
      <c r="I65" s="362"/>
      <c r="J65" s="354"/>
      <c r="K65" s="361"/>
    </row>
    <row r="66" spans="1:11" ht="13.15" customHeight="1" x14ac:dyDescent="0.25">
      <c r="A66" s="238" t="s">
        <v>905</v>
      </c>
      <c r="B66" s="237"/>
      <c r="C66" s="354"/>
      <c r="D66" s="354"/>
      <c r="E66" s="359"/>
      <c r="F66" s="360"/>
      <c r="G66" s="354"/>
      <c r="H66" s="361"/>
      <c r="I66" s="362"/>
      <c r="J66" s="354"/>
      <c r="K66" s="361"/>
    </row>
    <row r="67" spans="1:11" ht="13.15" customHeight="1" x14ac:dyDescent="0.25">
      <c r="A67" s="238" t="s">
        <v>861</v>
      </c>
      <c r="B67" s="237"/>
      <c r="C67" s="354"/>
      <c r="D67" s="354"/>
      <c r="E67" s="359"/>
      <c r="F67" s="360"/>
      <c r="G67" s="354"/>
      <c r="H67" s="361"/>
      <c r="I67" s="362"/>
      <c r="J67" s="354"/>
      <c r="K67" s="361"/>
    </row>
    <row r="68" spans="1:11" ht="13.15" customHeight="1" x14ac:dyDescent="0.25">
      <c r="A68" s="20" t="s">
        <v>906</v>
      </c>
      <c r="B68" s="237"/>
      <c r="C68" s="23">
        <f>SUM(C69:C72)</f>
        <v>0</v>
      </c>
      <c r="D68" s="23">
        <f t="shared" ref="D68:K68" si="9">SUM(D69:D72)</f>
        <v>0</v>
      </c>
      <c r="E68" s="23">
        <f t="shared" si="9"/>
        <v>0</v>
      </c>
      <c r="F68" s="24">
        <f t="shared" si="9"/>
        <v>0</v>
      </c>
      <c r="G68" s="23">
        <f t="shared" si="9"/>
        <v>0</v>
      </c>
      <c r="H68" s="83">
        <f t="shared" si="9"/>
        <v>0</v>
      </c>
      <c r="I68" s="319">
        <f t="shared" si="9"/>
        <v>0</v>
      </c>
      <c r="J68" s="23">
        <f t="shared" si="9"/>
        <v>0</v>
      </c>
      <c r="K68" s="83">
        <f t="shared" si="9"/>
        <v>0</v>
      </c>
    </row>
    <row r="69" spans="1:11" ht="13.15" customHeight="1" x14ac:dyDescent="0.25">
      <c r="A69" s="238" t="s">
        <v>907</v>
      </c>
      <c r="B69" s="237"/>
      <c r="C69" s="354"/>
      <c r="D69" s="354"/>
      <c r="E69" s="357"/>
      <c r="F69" s="356"/>
      <c r="G69" s="354"/>
      <c r="H69" s="357"/>
      <c r="I69" s="356"/>
      <c r="J69" s="354"/>
      <c r="K69" s="361"/>
    </row>
    <row r="70" spans="1:11" ht="13.15" customHeight="1" x14ac:dyDescent="0.25">
      <c r="A70" s="238" t="s">
        <v>908</v>
      </c>
      <c r="B70" s="237"/>
      <c r="C70" s="354"/>
      <c r="D70" s="354"/>
      <c r="E70" s="355"/>
      <c r="F70" s="356"/>
      <c r="G70" s="354"/>
      <c r="H70" s="357"/>
      <c r="I70" s="356"/>
      <c r="J70" s="354"/>
      <c r="K70" s="361"/>
    </row>
    <row r="71" spans="1:11" ht="13.15" customHeight="1" x14ac:dyDescent="0.25">
      <c r="A71" s="238" t="s">
        <v>909</v>
      </c>
      <c r="B71" s="237"/>
      <c r="C71" s="354"/>
      <c r="D71" s="354"/>
      <c r="E71" s="355"/>
      <c r="F71" s="356"/>
      <c r="G71" s="354"/>
      <c r="H71" s="357"/>
      <c r="I71" s="356"/>
      <c r="J71" s="354"/>
      <c r="K71" s="355"/>
    </row>
    <row r="72" spans="1:11" ht="13.15" customHeight="1" x14ac:dyDescent="0.25">
      <c r="A72" s="238" t="s">
        <v>861</v>
      </c>
      <c r="B72" s="237"/>
      <c r="C72" s="354"/>
      <c r="D72" s="354"/>
      <c r="E72" s="355"/>
      <c r="F72" s="356"/>
      <c r="G72" s="354"/>
      <c r="H72" s="357"/>
      <c r="I72" s="356"/>
      <c r="J72" s="354"/>
      <c r="K72" s="355"/>
    </row>
    <row r="73" spans="1:11" ht="5.0999999999999996" customHeight="1" x14ac:dyDescent="0.25">
      <c r="A73" s="21"/>
      <c r="B73" s="237"/>
      <c r="C73" s="23"/>
      <c r="D73" s="23"/>
      <c r="E73" s="240"/>
      <c r="F73" s="241"/>
      <c r="G73" s="23"/>
      <c r="H73" s="22"/>
      <c r="I73" s="241"/>
      <c r="J73" s="23"/>
      <c r="K73" s="240"/>
    </row>
    <row r="74" spans="1:11" ht="13.15" customHeight="1" x14ac:dyDescent="0.25">
      <c r="A74" s="19" t="s">
        <v>910</v>
      </c>
      <c r="B74" s="237"/>
      <c r="C74" s="26">
        <f>C75+C98</f>
        <v>0</v>
      </c>
      <c r="D74" s="26">
        <f t="shared" ref="D74:K74" si="10">D75+D98</f>
        <v>0</v>
      </c>
      <c r="E74" s="233">
        <f t="shared" si="10"/>
        <v>0</v>
      </c>
      <c r="F74" s="232">
        <f t="shared" si="10"/>
        <v>0</v>
      </c>
      <c r="G74" s="26">
        <f t="shared" si="10"/>
        <v>0</v>
      </c>
      <c r="H74" s="25">
        <f t="shared" si="10"/>
        <v>0</v>
      </c>
      <c r="I74" s="232">
        <f t="shared" si="10"/>
        <v>0</v>
      </c>
      <c r="J74" s="26">
        <f t="shared" si="10"/>
        <v>0</v>
      </c>
      <c r="K74" s="233">
        <f t="shared" si="10"/>
        <v>0</v>
      </c>
    </row>
    <row r="75" spans="1:11" ht="13.15" customHeight="1" x14ac:dyDescent="0.25">
      <c r="A75" s="20" t="s">
        <v>911</v>
      </c>
      <c r="B75" s="237"/>
      <c r="C75" s="48">
        <f>SUM(C76:C97)</f>
        <v>0</v>
      </c>
      <c r="D75" s="48">
        <f t="shared" ref="D75:K75" si="11">SUM(D76:D97)</f>
        <v>0</v>
      </c>
      <c r="E75" s="317">
        <f t="shared" si="11"/>
        <v>0</v>
      </c>
      <c r="F75" s="49">
        <f t="shared" si="11"/>
        <v>0</v>
      </c>
      <c r="G75" s="48">
        <f t="shared" si="11"/>
        <v>0</v>
      </c>
      <c r="H75" s="100">
        <f t="shared" si="11"/>
        <v>0</v>
      </c>
      <c r="I75" s="49">
        <f t="shared" si="11"/>
        <v>0</v>
      </c>
      <c r="J75" s="48">
        <f t="shared" si="11"/>
        <v>0</v>
      </c>
      <c r="K75" s="100">
        <f t="shared" si="11"/>
        <v>0</v>
      </c>
    </row>
    <row r="76" spans="1:11" ht="13.15" customHeight="1" x14ac:dyDescent="0.25">
      <c r="A76" s="238" t="s">
        <v>912</v>
      </c>
      <c r="B76" s="237"/>
      <c r="C76" s="354"/>
      <c r="D76" s="354"/>
      <c r="E76" s="355"/>
      <c r="F76" s="356"/>
      <c r="G76" s="354"/>
      <c r="H76" s="357"/>
      <c r="I76" s="356"/>
      <c r="J76" s="354"/>
      <c r="K76" s="355"/>
    </row>
    <row r="77" spans="1:11" ht="13.15" customHeight="1" x14ac:dyDescent="0.25">
      <c r="A77" s="238" t="s">
        <v>913</v>
      </c>
      <c r="B77" s="237"/>
      <c r="C77" s="354"/>
      <c r="D77" s="354"/>
      <c r="E77" s="355"/>
      <c r="F77" s="356"/>
      <c r="G77" s="354"/>
      <c r="H77" s="357"/>
      <c r="I77" s="356"/>
      <c r="J77" s="354"/>
      <c r="K77" s="355"/>
    </row>
    <row r="78" spans="1:11" ht="13.15" customHeight="1" x14ac:dyDescent="0.25">
      <c r="A78" s="238" t="s">
        <v>914</v>
      </c>
      <c r="B78" s="237"/>
      <c r="C78" s="354"/>
      <c r="D78" s="354"/>
      <c r="E78" s="355"/>
      <c r="F78" s="356"/>
      <c r="G78" s="354"/>
      <c r="H78" s="357"/>
      <c r="I78" s="356"/>
      <c r="J78" s="354"/>
      <c r="K78" s="355"/>
    </row>
    <row r="79" spans="1:11" ht="13.15" customHeight="1" x14ac:dyDescent="0.25">
      <c r="A79" s="238" t="s">
        <v>915</v>
      </c>
      <c r="B79" s="237"/>
      <c r="C79" s="354"/>
      <c r="D79" s="354"/>
      <c r="E79" s="355"/>
      <c r="F79" s="356"/>
      <c r="G79" s="354"/>
      <c r="H79" s="357"/>
      <c r="I79" s="356"/>
      <c r="J79" s="354"/>
      <c r="K79" s="355"/>
    </row>
    <row r="80" spans="1:11" ht="13.15" customHeight="1" x14ac:dyDescent="0.25">
      <c r="A80" s="238" t="s">
        <v>916</v>
      </c>
      <c r="B80" s="237"/>
      <c r="C80" s="354"/>
      <c r="D80" s="354"/>
      <c r="E80" s="355"/>
      <c r="F80" s="356"/>
      <c r="G80" s="354"/>
      <c r="H80" s="357"/>
      <c r="I80" s="356"/>
      <c r="J80" s="354"/>
      <c r="K80" s="355"/>
    </row>
    <row r="81" spans="1:12" ht="13.15" customHeight="1" x14ac:dyDescent="0.25">
      <c r="A81" s="238" t="s">
        <v>917</v>
      </c>
      <c r="B81" s="237"/>
      <c r="C81" s="354"/>
      <c r="D81" s="354"/>
      <c r="E81" s="355"/>
      <c r="F81" s="356"/>
      <c r="G81" s="354"/>
      <c r="H81" s="357"/>
      <c r="I81" s="356"/>
      <c r="J81" s="354"/>
      <c r="K81" s="355"/>
    </row>
    <row r="82" spans="1:12" ht="13.15" customHeight="1" x14ac:dyDescent="0.25">
      <c r="A82" s="238" t="s">
        <v>918</v>
      </c>
      <c r="B82" s="237"/>
      <c r="C82" s="354"/>
      <c r="D82" s="354"/>
      <c r="E82" s="355"/>
      <c r="F82" s="356"/>
      <c r="G82" s="354"/>
      <c r="H82" s="357"/>
      <c r="I82" s="356"/>
      <c r="J82" s="354"/>
      <c r="K82" s="355"/>
    </row>
    <row r="83" spans="1:12" ht="13.15" customHeight="1" x14ac:dyDescent="0.25">
      <c r="A83" s="238" t="s">
        <v>919</v>
      </c>
      <c r="B83" s="237"/>
      <c r="C83" s="354"/>
      <c r="D83" s="354"/>
      <c r="E83" s="355"/>
      <c r="F83" s="356"/>
      <c r="G83" s="354"/>
      <c r="H83" s="357"/>
      <c r="I83" s="356"/>
      <c r="J83" s="354"/>
      <c r="K83" s="355"/>
    </row>
    <row r="84" spans="1:12" s="297" customFormat="1" ht="13.15" customHeight="1" x14ac:dyDescent="0.25">
      <c r="A84" s="238" t="s">
        <v>920</v>
      </c>
      <c r="B84" s="237"/>
      <c r="C84" s="354"/>
      <c r="D84" s="354"/>
      <c r="E84" s="355"/>
      <c r="F84" s="356"/>
      <c r="G84" s="354"/>
      <c r="H84" s="357"/>
      <c r="I84" s="356"/>
      <c r="J84" s="354"/>
      <c r="K84" s="355"/>
      <c r="L84" s="363"/>
    </row>
    <row r="85" spans="1:12" s="297" customFormat="1" ht="13.15" customHeight="1" x14ac:dyDescent="0.25">
      <c r="A85" s="238" t="s">
        <v>90</v>
      </c>
      <c r="B85" s="237"/>
      <c r="C85" s="354"/>
      <c r="D85" s="354"/>
      <c r="E85" s="355"/>
      <c r="F85" s="356"/>
      <c r="G85" s="354"/>
      <c r="H85" s="357"/>
      <c r="I85" s="356"/>
      <c r="J85" s="354"/>
      <c r="K85" s="355"/>
    </row>
    <row r="86" spans="1:12" s="297" customFormat="1" ht="13.15" customHeight="1" x14ac:dyDescent="0.25">
      <c r="A86" s="238" t="s">
        <v>921</v>
      </c>
      <c r="B86" s="237"/>
      <c r="C86" s="354"/>
      <c r="D86" s="354"/>
      <c r="E86" s="355"/>
      <c r="F86" s="356"/>
      <c r="G86" s="354"/>
      <c r="H86" s="357"/>
      <c r="I86" s="356"/>
      <c r="J86" s="354"/>
      <c r="K86" s="355"/>
    </row>
    <row r="87" spans="1:12" ht="13.15" customHeight="1" x14ac:dyDescent="0.25">
      <c r="A87" s="238" t="s">
        <v>922</v>
      </c>
      <c r="B87" s="237"/>
      <c r="C87" s="354"/>
      <c r="D87" s="354"/>
      <c r="E87" s="355"/>
      <c r="F87" s="356"/>
      <c r="G87" s="354"/>
      <c r="H87" s="357"/>
      <c r="I87" s="356"/>
      <c r="J87" s="354"/>
      <c r="K87" s="355"/>
    </row>
    <row r="88" spans="1:12" ht="13.15" customHeight="1" x14ac:dyDescent="0.25">
      <c r="A88" s="238" t="s">
        <v>1025</v>
      </c>
      <c r="B88" s="237"/>
      <c r="C88" s="354"/>
      <c r="D88" s="354"/>
      <c r="E88" s="355"/>
      <c r="F88" s="356"/>
      <c r="G88" s="354"/>
      <c r="H88" s="357"/>
      <c r="I88" s="356"/>
      <c r="J88" s="354"/>
      <c r="K88" s="355"/>
    </row>
    <row r="89" spans="1:12" ht="13.15" customHeight="1" x14ac:dyDescent="0.25">
      <c r="A89" s="238" t="s">
        <v>923</v>
      </c>
      <c r="B89" s="237"/>
      <c r="C89" s="354"/>
      <c r="D89" s="354"/>
      <c r="E89" s="355"/>
      <c r="F89" s="356"/>
      <c r="G89" s="354"/>
      <c r="H89" s="357"/>
      <c r="I89" s="356"/>
      <c r="J89" s="354"/>
      <c r="K89" s="355"/>
    </row>
    <row r="90" spans="1:12" ht="13.15" customHeight="1" x14ac:dyDescent="0.25">
      <c r="A90" s="238" t="s">
        <v>924</v>
      </c>
      <c r="B90" s="237"/>
      <c r="C90" s="354"/>
      <c r="D90" s="354"/>
      <c r="E90" s="355"/>
      <c r="F90" s="356"/>
      <c r="G90" s="354"/>
      <c r="H90" s="357"/>
      <c r="I90" s="356"/>
      <c r="J90" s="354"/>
      <c r="K90" s="355"/>
    </row>
    <row r="91" spans="1:12" ht="13.15" customHeight="1" x14ac:dyDescent="0.25">
      <c r="A91" s="238" t="s">
        <v>925</v>
      </c>
      <c r="B91" s="237"/>
      <c r="C91" s="354"/>
      <c r="D91" s="354"/>
      <c r="E91" s="355"/>
      <c r="F91" s="356"/>
      <c r="G91" s="354"/>
      <c r="H91" s="357"/>
      <c r="I91" s="356"/>
      <c r="J91" s="354"/>
      <c r="K91" s="355"/>
    </row>
    <row r="92" spans="1:12" ht="13.15" customHeight="1" x14ac:dyDescent="0.25">
      <c r="A92" s="238" t="s">
        <v>11</v>
      </c>
      <c r="B92" s="237"/>
      <c r="C92" s="354"/>
      <c r="D92" s="354"/>
      <c r="E92" s="355"/>
      <c r="F92" s="356"/>
      <c r="G92" s="354"/>
      <c r="H92" s="357"/>
      <c r="I92" s="356"/>
      <c r="J92" s="354"/>
      <c r="K92" s="355"/>
    </row>
    <row r="93" spans="1:12" ht="13.15" customHeight="1" x14ac:dyDescent="0.25">
      <c r="A93" s="238" t="s">
        <v>926</v>
      </c>
      <c r="B93" s="237"/>
      <c r="C93" s="354"/>
      <c r="D93" s="354"/>
      <c r="E93" s="355"/>
      <c r="F93" s="356"/>
      <c r="G93" s="354"/>
      <c r="H93" s="357"/>
      <c r="I93" s="356"/>
      <c r="J93" s="354"/>
      <c r="K93" s="355"/>
    </row>
    <row r="94" spans="1:12" ht="13.15" customHeight="1" x14ac:dyDescent="0.25">
      <c r="A94" s="238" t="s">
        <v>10</v>
      </c>
      <c r="B94" s="237"/>
      <c r="C94" s="354"/>
      <c r="D94" s="354"/>
      <c r="E94" s="355"/>
      <c r="F94" s="356"/>
      <c r="G94" s="354"/>
      <c r="H94" s="357"/>
      <c r="I94" s="356"/>
      <c r="J94" s="354"/>
      <c r="K94" s="355"/>
    </row>
    <row r="95" spans="1:12" ht="13.15" customHeight="1" x14ac:dyDescent="0.25">
      <c r="A95" s="238" t="s">
        <v>927</v>
      </c>
      <c r="B95" s="237"/>
      <c r="C95" s="354"/>
      <c r="D95" s="354"/>
      <c r="E95" s="355"/>
      <c r="F95" s="356"/>
      <c r="G95" s="354"/>
      <c r="H95" s="357"/>
      <c r="I95" s="356"/>
      <c r="J95" s="354"/>
      <c r="K95" s="355"/>
    </row>
    <row r="96" spans="1:12" ht="13.15" customHeight="1" x14ac:dyDescent="0.25">
      <c r="A96" s="238" t="s">
        <v>928</v>
      </c>
      <c r="B96" s="237"/>
      <c r="C96" s="354"/>
      <c r="D96" s="354"/>
      <c r="E96" s="355"/>
      <c r="F96" s="356"/>
      <c r="G96" s="354"/>
      <c r="H96" s="357"/>
      <c r="I96" s="356"/>
      <c r="J96" s="354"/>
      <c r="K96" s="355"/>
    </row>
    <row r="97" spans="1:11" ht="13.15" customHeight="1" x14ac:dyDescent="0.25">
      <c r="A97" s="238" t="s">
        <v>861</v>
      </c>
      <c r="B97" s="237"/>
      <c r="C97" s="354"/>
      <c r="D97" s="354"/>
      <c r="E97" s="355"/>
      <c r="F97" s="356"/>
      <c r="G97" s="354"/>
      <c r="H97" s="357"/>
      <c r="I97" s="356"/>
      <c r="J97" s="354"/>
      <c r="K97" s="355"/>
    </row>
    <row r="98" spans="1:11" ht="13.15" customHeight="1" x14ac:dyDescent="0.25">
      <c r="A98" s="20" t="s">
        <v>929</v>
      </c>
      <c r="B98" s="237"/>
      <c r="C98" s="23">
        <f>SUM(C99:C101)</f>
        <v>0</v>
      </c>
      <c r="D98" s="23">
        <f t="shared" ref="D98:K98" si="12">SUM(D99:D101)</f>
        <v>0</v>
      </c>
      <c r="E98" s="23">
        <f t="shared" si="12"/>
        <v>0</v>
      </c>
      <c r="F98" s="24">
        <f t="shared" si="12"/>
        <v>0</v>
      </c>
      <c r="G98" s="23">
        <f t="shared" si="12"/>
        <v>0</v>
      </c>
      <c r="H98" s="83">
        <f t="shared" si="12"/>
        <v>0</v>
      </c>
      <c r="I98" s="319">
        <f t="shared" si="12"/>
        <v>0</v>
      </c>
      <c r="J98" s="23">
        <f t="shared" si="12"/>
        <v>0</v>
      </c>
      <c r="K98" s="83">
        <f t="shared" si="12"/>
        <v>0</v>
      </c>
    </row>
    <row r="99" spans="1:11" ht="13.15" customHeight="1" x14ac:dyDescent="0.25">
      <c r="A99" s="238" t="s">
        <v>930</v>
      </c>
      <c r="B99" s="237"/>
      <c r="C99" s="354"/>
      <c r="D99" s="354"/>
      <c r="E99" s="357"/>
      <c r="F99" s="356"/>
      <c r="G99" s="354"/>
      <c r="H99" s="357"/>
      <c r="I99" s="356"/>
      <c r="J99" s="354"/>
      <c r="K99" s="361"/>
    </row>
    <row r="100" spans="1:11" ht="13.15" customHeight="1" x14ac:dyDescent="0.25">
      <c r="A100" s="238" t="s">
        <v>931</v>
      </c>
      <c r="B100" s="237"/>
      <c r="C100" s="354"/>
      <c r="D100" s="354"/>
      <c r="E100" s="355"/>
      <c r="F100" s="356"/>
      <c r="G100" s="354"/>
      <c r="H100" s="357"/>
      <c r="I100" s="356"/>
      <c r="J100" s="354"/>
      <c r="K100" s="361"/>
    </row>
    <row r="101" spans="1:11" ht="13.15" customHeight="1" x14ac:dyDescent="0.25">
      <c r="A101" s="238" t="s">
        <v>861</v>
      </c>
      <c r="B101" s="237"/>
      <c r="C101" s="354"/>
      <c r="D101" s="354"/>
      <c r="E101" s="355"/>
      <c r="F101" s="356"/>
      <c r="G101" s="354"/>
      <c r="H101" s="357"/>
      <c r="I101" s="356"/>
      <c r="J101" s="354"/>
      <c r="K101" s="355"/>
    </row>
    <row r="102" spans="1:11" ht="5.0999999999999996" customHeight="1" x14ac:dyDescent="0.25">
      <c r="A102" s="21"/>
      <c r="B102" s="237"/>
      <c r="C102" s="23"/>
      <c r="D102" s="23"/>
      <c r="E102" s="240"/>
      <c r="F102" s="241"/>
      <c r="G102" s="23"/>
      <c r="H102" s="22"/>
      <c r="I102" s="241"/>
      <c r="J102" s="23"/>
      <c r="K102" s="240"/>
    </row>
    <row r="103" spans="1:11" ht="13.15" customHeight="1" x14ac:dyDescent="0.25">
      <c r="A103" s="19" t="s">
        <v>187</v>
      </c>
      <c r="B103" s="237"/>
      <c r="C103" s="23">
        <f>SUM(C104:C108)</f>
        <v>0</v>
      </c>
      <c r="D103" s="23">
        <f t="shared" ref="D103:K103" si="13">SUM(D104:D108)</f>
        <v>0</v>
      </c>
      <c r="E103" s="240">
        <f t="shared" si="13"/>
        <v>0</v>
      </c>
      <c r="F103" s="241">
        <f t="shared" si="13"/>
        <v>0</v>
      </c>
      <c r="G103" s="23">
        <f t="shared" si="13"/>
        <v>0</v>
      </c>
      <c r="H103" s="22">
        <f t="shared" si="13"/>
        <v>0</v>
      </c>
      <c r="I103" s="241">
        <f t="shared" si="13"/>
        <v>0</v>
      </c>
      <c r="J103" s="23">
        <f t="shared" si="13"/>
        <v>0</v>
      </c>
      <c r="K103" s="240">
        <f t="shared" si="13"/>
        <v>0</v>
      </c>
    </row>
    <row r="104" spans="1:11" ht="13.15" customHeight="1" x14ac:dyDescent="0.25">
      <c r="A104" s="20" t="s">
        <v>932</v>
      </c>
      <c r="B104" s="237"/>
      <c r="C104" s="364"/>
      <c r="D104" s="364"/>
      <c r="E104" s="365"/>
      <c r="F104" s="366"/>
      <c r="G104" s="364"/>
      <c r="H104" s="367"/>
      <c r="I104" s="366"/>
      <c r="J104" s="364"/>
      <c r="K104" s="365"/>
    </row>
    <row r="105" spans="1:11" ht="13.15" customHeight="1" x14ac:dyDescent="0.25">
      <c r="A105" s="20" t="s">
        <v>933</v>
      </c>
      <c r="B105" s="237"/>
      <c r="C105" s="368"/>
      <c r="D105" s="368"/>
      <c r="E105" s="369"/>
      <c r="F105" s="370"/>
      <c r="G105" s="368"/>
      <c r="H105" s="371"/>
      <c r="I105" s="370"/>
      <c r="J105" s="368"/>
      <c r="K105" s="369"/>
    </row>
    <row r="106" spans="1:11" ht="13.15" customHeight="1" x14ac:dyDescent="0.25">
      <c r="A106" s="20" t="s">
        <v>934</v>
      </c>
      <c r="B106" s="237"/>
      <c r="C106" s="368"/>
      <c r="D106" s="368"/>
      <c r="E106" s="369"/>
      <c r="F106" s="370"/>
      <c r="G106" s="368"/>
      <c r="H106" s="371"/>
      <c r="I106" s="370"/>
      <c r="J106" s="368"/>
      <c r="K106" s="369"/>
    </row>
    <row r="107" spans="1:11" ht="13.15" customHeight="1" x14ac:dyDescent="0.25">
      <c r="A107" s="20" t="s">
        <v>935</v>
      </c>
      <c r="B107" s="237"/>
      <c r="C107" s="368"/>
      <c r="D107" s="368"/>
      <c r="E107" s="369"/>
      <c r="F107" s="370"/>
      <c r="G107" s="368"/>
      <c r="H107" s="371"/>
      <c r="I107" s="370"/>
      <c r="J107" s="368"/>
      <c r="K107" s="369"/>
    </row>
    <row r="108" spans="1:11" ht="13.15" customHeight="1" x14ac:dyDescent="0.25">
      <c r="A108" s="20" t="s">
        <v>936</v>
      </c>
      <c r="B108" s="237"/>
      <c r="C108" s="368"/>
      <c r="D108" s="368"/>
      <c r="E108" s="369"/>
      <c r="F108" s="370"/>
      <c r="G108" s="368"/>
      <c r="H108" s="371"/>
      <c r="I108" s="370"/>
      <c r="J108" s="368"/>
      <c r="K108" s="369"/>
    </row>
    <row r="109" spans="1:11" ht="5.0999999999999996" customHeight="1" x14ac:dyDescent="0.25">
      <c r="A109" s="21"/>
      <c r="B109" s="237"/>
      <c r="C109" s="23"/>
      <c r="D109" s="23"/>
      <c r="E109" s="240"/>
      <c r="F109" s="241"/>
      <c r="G109" s="23"/>
      <c r="H109" s="22"/>
      <c r="I109" s="241"/>
      <c r="J109" s="23"/>
      <c r="K109" s="240"/>
    </row>
    <row r="110" spans="1:11" ht="13.15" customHeight="1" x14ac:dyDescent="0.25">
      <c r="A110" s="19" t="s">
        <v>188</v>
      </c>
      <c r="B110" s="237"/>
      <c r="C110" s="26">
        <f>+C111+C114</f>
        <v>0</v>
      </c>
      <c r="D110" s="26">
        <f t="shared" ref="D110:K110" si="14">+D111+D114</f>
        <v>0</v>
      </c>
      <c r="E110" s="233">
        <f t="shared" si="14"/>
        <v>0</v>
      </c>
      <c r="F110" s="232">
        <f t="shared" si="14"/>
        <v>0</v>
      </c>
      <c r="G110" s="26">
        <f t="shared" si="14"/>
        <v>0</v>
      </c>
      <c r="H110" s="25">
        <f t="shared" si="14"/>
        <v>0</v>
      </c>
      <c r="I110" s="232">
        <f t="shared" si="14"/>
        <v>0</v>
      </c>
      <c r="J110" s="26">
        <f t="shared" si="14"/>
        <v>0</v>
      </c>
      <c r="K110" s="233">
        <f t="shared" si="14"/>
        <v>0</v>
      </c>
    </row>
    <row r="111" spans="1:11" ht="13.15" customHeight="1" x14ac:dyDescent="0.25">
      <c r="A111" s="20" t="s">
        <v>937</v>
      </c>
      <c r="B111" s="237"/>
      <c r="C111" s="48">
        <f t="shared" ref="C111:K111" si="15">SUM(C112:C113)</f>
        <v>0</v>
      </c>
      <c r="D111" s="48">
        <f t="shared" si="15"/>
        <v>0</v>
      </c>
      <c r="E111" s="48">
        <f t="shared" si="15"/>
        <v>0</v>
      </c>
      <c r="F111" s="49">
        <f t="shared" si="15"/>
        <v>0</v>
      </c>
      <c r="G111" s="48">
        <f t="shared" si="15"/>
        <v>0</v>
      </c>
      <c r="H111" s="100">
        <f t="shared" si="15"/>
        <v>0</v>
      </c>
      <c r="I111" s="318">
        <f t="shared" si="15"/>
        <v>0</v>
      </c>
      <c r="J111" s="48">
        <f t="shared" si="15"/>
        <v>0</v>
      </c>
      <c r="K111" s="100">
        <f t="shared" si="15"/>
        <v>0</v>
      </c>
    </row>
    <row r="112" spans="1:11" ht="13.15" customHeight="1" x14ac:dyDescent="0.25">
      <c r="A112" s="238" t="s">
        <v>938</v>
      </c>
      <c r="B112" s="237"/>
      <c r="C112" s="354"/>
      <c r="D112" s="354"/>
      <c r="E112" s="357"/>
      <c r="F112" s="356"/>
      <c r="G112" s="354"/>
      <c r="H112" s="357"/>
      <c r="I112" s="356"/>
      <c r="J112" s="354"/>
      <c r="K112" s="361"/>
    </row>
    <row r="113" spans="1:11" ht="13.15" customHeight="1" x14ac:dyDescent="0.25">
      <c r="A113" s="238" t="s">
        <v>939</v>
      </c>
      <c r="B113" s="237"/>
      <c r="C113" s="354"/>
      <c r="D113" s="354"/>
      <c r="E113" s="355"/>
      <c r="F113" s="356"/>
      <c r="G113" s="354"/>
      <c r="H113" s="357"/>
      <c r="I113" s="356"/>
      <c r="J113" s="354"/>
      <c r="K113" s="361"/>
    </row>
    <row r="114" spans="1:11" ht="13.15" customHeight="1" x14ac:dyDescent="0.25">
      <c r="A114" s="20" t="s">
        <v>940</v>
      </c>
      <c r="B114" s="237"/>
      <c r="C114" s="23">
        <f>SUM(C115:C116)</f>
        <v>0</v>
      </c>
      <c r="D114" s="23">
        <f t="shared" ref="D114:K114" si="16">SUM(D115:D116)</f>
        <v>0</v>
      </c>
      <c r="E114" s="23">
        <f t="shared" si="16"/>
        <v>0</v>
      </c>
      <c r="F114" s="24">
        <f t="shared" si="16"/>
        <v>0</v>
      </c>
      <c r="G114" s="23">
        <f t="shared" si="16"/>
        <v>0</v>
      </c>
      <c r="H114" s="83">
        <f t="shared" si="16"/>
        <v>0</v>
      </c>
      <c r="I114" s="319">
        <f t="shared" si="16"/>
        <v>0</v>
      </c>
      <c r="J114" s="23">
        <f t="shared" si="16"/>
        <v>0</v>
      </c>
      <c r="K114" s="83">
        <f t="shared" si="16"/>
        <v>0</v>
      </c>
    </row>
    <row r="115" spans="1:11" ht="13.15" customHeight="1" x14ac:dyDescent="0.25">
      <c r="A115" s="238" t="s">
        <v>938</v>
      </c>
      <c r="B115" s="237"/>
      <c r="C115" s="354"/>
      <c r="D115" s="354"/>
      <c r="E115" s="357"/>
      <c r="F115" s="356"/>
      <c r="G115" s="354"/>
      <c r="H115" s="357"/>
      <c r="I115" s="356"/>
      <c r="J115" s="354"/>
      <c r="K115" s="361"/>
    </row>
    <row r="116" spans="1:11" ht="13.15" customHeight="1" x14ac:dyDescent="0.25">
      <c r="A116" s="238" t="s">
        <v>939</v>
      </c>
      <c r="B116" s="237"/>
      <c r="C116" s="354"/>
      <c r="D116" s="354"/>
      <c r="E116" s="355"/>
      <c r="F116" s="356"/>
      <c r="G116" s="354"/>
      <c r="H116" s="357"/>
      <c r="I116" s="356"/>
      <c r="J116" s="354"/>
      <c r="K116" s="361"/>
    </row>
    <row r="117" spans="1:11" ht="5.0999999999999996" customHeight="1" x14ac:dyDescent="0.25">
      <c r="A117" s="21"/>
      <c r="B117" s="237"/>
      <c r="C117" s="23"/>
      <c r="D117" s="23"/>
      <c r="E117" s="240"/>
      <c r="F117" s="241"/>
      <c r="G117" s="23"/>
      <c r="H117" s="22"/>
      <c r="I117" s="241"/>
      <c r="J117" s="23"/>
      <c r="K117" s="240"/>
    </row>
    <row r="118" spans="1:11" ht="13.15" customHeight="1" x14ac:dyDescent="0.25">
      <c r="A118" s="19" t="s">
        <v>189</v>
      </c>
      <c r="B118" s="237"/>
      <c r="C118" s="26">
        <f>+C119+C131</f>
        <v>0</v>
      </c>
      <c r="D118" s="26">
        <f t="shared" ref="D118:K118" si="17">+D119+D131</f>
        <v>0</v>
      </c>
      <c r="E118" s="233">
        <f t="shared" si="17"/>
        <v>0</v>
      </c>
      <c r="F118" s="232">
        <f t="shared" si="17"/>
        <v>0</v>
      </c>
      <c r="G118" s="26">
        <f t="shared" si="17"/>
        <v>0</v>
      </c>
      <c r="H118" s="25">
        <f t="shared" si="17"/>
        <v>0</v>
      </c>
      <c r="I118" s="232">
        <f t="shared" si="17"/>
        <v>0</v>
      </c>
      <c r="J118" s="26">
        <f t="shared" si="17"/>
        <v>0</v>
      </c>
      <c r="K118" s="233">
        <f t="shared" si="17"/>
        <v>0</v>
      </c>
    </row>
    <row r="119" spans="1:11" ht="13.15" customHeight="1" x14ac:dyDescent="0.25">
      <c r="A119" s="20" t="s">
        <v>941</v>
      </c>
      <c r="B119" s="237"/>
      <c r="C119" s="48">
        <f>SUM(C120:C130)</f>
        <v>0</v>
      </c>
      <c r="D119" s="48">
        <f t="shared" ref="D119:K119" si="18">SUM(D120:D130)</f>
        <v>0</v>
      </c>
      <c r="E119" s="48">
        <f t="shared" si="18"/>
        <v>0</v>
      </c>
      <c r="F119" s="49">
        <f t="shared" si="18"/>
        <v>0</v>
      </c>
      <c r="G119" s="48">
        <f t="shared" si="18"/>
        <v>0</v>
      </c>
      <c r="H119" s="100">
        <f t="shared" si="18"/>
        <v>0</v>
      </c>
      <c r="I119" s="318">
        <f t="shared" si="18"/>
        <v>0</v>
      </c>
      <c r="J119" s="48">
        <f t="shared" si="18"/>
        <v>0</v>
      </c>
      <c r="K119" s="100">
        <f t="shared" si="18"/>
        <v>0</v>
      </c>
    </row>
    <row r="120" spans="1:11" ht="13.15" customHeight="1" x14ac:dyDescent="0.25">
      <c r="A120" s="238" t="s">
        <v>942</v>
      </c>
      <c r="B120" s="237"/>
      <c r="C120" s="354"/>
      <c r="D120" s="354"/>
      <c r="E120" s="357"/>
      <c r="F120" s="356"/>
      <c r="G120" s="354"/>
      <c r="H120" s="357"/>
      <c r="I120" s="356"/>
      <c r="J120" s="354"/>
      <c r="K120" s="361"/>
    </row>
    <row r="121" spans="1:11" ht="13.15" customHeight="1" x14ac:dyDescent="0.25">
      <c r="A121" s="238" t="s">
        <v>943</v>
      </c>
      <c r="B121" s="237"/>
      <c r="C121" s="354"/>
      <c r="D121" s="354"/>
      <c r="E121" s="357"/>
      <c r="F121" s="356"/>
      <c r="G121" s="354"/>
      <c r="H121" s="357"/>
      <c r="I121" s="356"/>
      <c r="J121" s="354"/>
      <c r="K121" s="361"/>
    </row>
    <row r="122" spans="1:11" ht="13.15" customHeight="1" x14ac:dyDescent="0.25">
      <c r="A122" s="238" t="s">
        <v>944</v>
      </c>
      <c r="B122" s="237"/>
      <c r="C122" s="354"/>
      <c r="D122" s="354"/>
      <c r="E122" s="357"/>
      <c r="F122" s="356"/>
      <c r="G122" s="354"/>
      <c r="H122" s="357"/>
      <c r="I122" s="356"/>
      <c r="J122" s="354"/>
      <c r="K122" s="361"/>
    </row>
    <row r="123" spans="1:11" ht="13.15" customHeight="1" x14ac:dyDescent="0.25">
      <c r="A123" s="238" t="s">
        <v>945</v>
      </c>
      <c r="B123" s="237"/>
      <c r="C123" s="354"/>
      <c r="D123" s="354"/>
      <c r="E123" s="357"/>
      <c r="F123" s="356"/>
      <c r="G123" s="354"/>
      <c r="H123" s="357"/>
      <c r="I123" s="356"/>
      <c r="J123" s="354"/>
      <c r="K123" s="361"/>
    </row>
    <row r="124" spans="1:11" ht="13.15" customHeight="1" x14ac:dyDescent="0.25">
      <c r="A124" s="238" t="s">
        <v>946</v>
      </c>
      <c r="B124" s="237"/>
      <c r="C124" s="354"/>
      <c r="D124" s="354"/>
      <c r="E124" s="357"/>
      <c r="F124" s="356"/>
      <c r="G124" s="354"/>
      <c r="H124" s="357"/>
      <c r="I124" s="356"/>
      <c r="J124" s="354"/>
      <c r="K124" s="361"/>
    </row>
    <row r="125" spans="1:11" ht="13.15" customHeight="1" x14ac:dyDescent="0.25">
      <c r="A125" s="238" t="s">
        <v>947</v>
      </c>
      <c r="B125" s="237"/>
      <c r="C125" s="354"/>
      <c r="D125" s="354"/>
      <c r="E125" s="357"/>
      <c r="F125" s="356"/>
      <c r="G125" s="354"/>
      <c r="H125" s="357"/>
      <c r="I125" s="356"/>
      <c r="J125" s="354"/>
      <c r="K125" s="361"/>
    </row>
    <row r="126" spans="1:11" ht="13.15" customHeight="1" x14ac:dyDescent="0.25">
      <c r="A126" s="238" t="s">
        <v>948</v>
      </c>
      <c r="B126" s="237"/>
      <c r="C126" s="354"/>
      <c r="D126" s="354"/>
      <c r="E126" s="357"/>
      <c r="F126" s="356"/>
      <c r="G126" s="354"/>
      <c r="H126" s="357"/>
      <c r="I126" s="356"/>
      <c r="J126" s="354"/>
      <c r="K126" s="361"/>
    </row>
    <row r="127" spans="1:11" ht="13.15" customHeight="1" x14ac:dyDescent="0.25">
      <c r="A127" s="238" t="s">
        <v>949</v>
      </c>
      <c r="B127" s="237"/>
      <c r="C127" s="354"/>
      <c r="D127" s="354"/>
      <c r="E127" s="357"/>
      <c r="F127" s="356"/>
      <c r="G127" s="354"/>
      <c r="H127" s="357"/>
      <c r="I127" s="356"/>
      <c r="J127" s="354"/>
      <c r="K127" s="361"/>
    </row>
    <row r="128" spans="1:11" ht="13.15" customHeight="1" x14ac:dyDescent="0.25">
      <c r="A128" s="238" t="s">
        <v>950</v>
      </c>
      <c r="B128" s="237"/>
      <c r="C128" s="354"/>
      <c r="D128" s="354"/>
      <c r="E128" s="357"/>
      <c r="F128" s="356"/>
      <c r="G128" s="354"/>
      <c r="H128" s="357"/>
      <c r="I128" s="356"/>
      <c r="J128" s="354"/>
      <c r="K128" s="361"/>
    </row>
    <row r="129" spans="1:11" ht="13.15" customHeight="1" x14ac:dyDescent="0.25">
      <c r="A129" s="238" t="s">
        <v>951</v>
      </c>
      <c r="B129" s="237"/>
      <c r="C129" s="354"/>
      <c r="D129" s="354"/>
      <c r="E129" s="357"/>
      <c r="F129" s="356"/>
      <c r="G129" s="354"/>
      <c r="H129" s="357"/>
      <c r="I129" s="356"/>
      <c r="J129" s="354"/>
      <c r="K129" s="361"/>
    </row>
    <row r="130" spans="1:11" ht="13.15" customHeight="1" x14ac:dyDescent="0.25">
      <c r="A130" s="238" t="s">
        <v>861</v>
      </c>
      <c r="B130" s="237"/>
      <c r="C130" s="354"/>
      <c r="D130" s="354"/>
      <c r="E130" s="357"/>
      <c r="F130" s="356"/>
      <c r="G130" s="354"/>
      <c r="H130" s="357"/>
      <c r="I130" s="356"/>
      <c r="J130" s="354"/>
      <c r="K130" s="361"/>
    </row>
    <row r="131" spans="1:11" ht="13.15" customHeight="1" x14ac:dyDescent="0.25">
      <c r="A131" s="20" t="s">
        <v>952</v>
      </c>
      <c r="B131" s="237"/>
      <c r="C131" s="23">
        <f>SUM(C132:C134)</f>
        <v>0</v>
      </c>
      <c r="D131" s="23">
        <f t="shared" ref="D131:K131" si="19">SUM(D132:D134)</f>
        <v>0</v>
      </c>
      <c r="E131" s="23">
        <f t="shared" si="19"/>
        <v>0</v>
      </c>
      <c r="F131" s="24">
        <f t="shared" si="19"/>
        <v>0</v>
      </c>
      <c r="G131" s="23">
        <f t="shared" si="19"/>
        <v>0</v>
      </c>
      <c r="H131" s="83">
        <f t="shared" si="19"/>
        <v>0</v>
      </c>
      <c r="I131" s="319">
        <f t="shared" si="19"/>
        <v>0</v>
      </c>
      <c r="J131" s="23">
        <f t="shared" si="19"/>
        <v>0</v>
      </c>
      <c r="K131" s="83">
        <f t="shared" si="19"/>
        <v>0</v>
      </c>
    </row>
    <row r="132" spans="1:11" ht="13.15" customHeight="1" x14ac:dyDescent="0.25">
      <c r="A132" s="238" t="s">
        <v>953</v>
      </c>
      <c r="B132" s="237"/>
      <c r="C132" s="354"/>
      <c r="D132" s="354"/>
      <c r="E132" s="357"/>
      <c r="F132" s="356"/>
      <c r="G132" s="354"/>
      <c r="H132" s="357"/>
      <c r="I132" s="356"/>
      <c r="J132" s="354"/>
      <c r="K132" s="361"/>
    </row>
    <row r="133" spans="1:11" ht="13.15" customHeight="1" x14ac:dyDescent="0.25">
      <c r="A133" s="238" t="s">
        <v>954</v>
      </c>
      <c r="B133" s="237"/>
      <c r="C133" s="354"/>
      <c r="D133" s="354"/>
      <c r="E133" s="357"/>
      <c r="F133" s="356"/>
      <c r="G133" s="354"/>
      <c r="H133" s="357"/>
      <c r="I133" s="356"/>
      <c r="J133" s="354"/>
      <c r="K133" s="361"/>
    </row>
    <row r="134" spans="1:11" ht="13.15" customHeight="1" x14ac:dyDescent="0.25">
      <c r="A134" s="238" t="s">
        <v>861</v>
      </c>
      <c r="B134" s="237"/>
      <c r="C134" s="354"/>
      <c r="D134" s="354"/>
      <c r="E134" s="357"/>
      <c r="F134" s="356"/>
      <c r="G134" s="354"/>
      <c r="H134" s="357"/>
      <c r="I134" s="356"/>
      <c r="J134" s="354"/>
      <c r="K134" s="361"/>
    </row>
    <row r="135" spans="1:11" ht="5.0999999999999996" customHeight="1" x14ac:dyDescent="0.25">
      <c r="A135" s="242"/>
      <c r="B135" s="237"/>
      <c r="C135" s="23"/>
      <c r="D135" s="23"/>
      <c r="E135" s="240"/>
      <c r="F135" s="241"/>
      <c r="G135" s="23"/>
      <c r="H135" s="22"/>
      <c r="I135" s="241"/>
      <c r="J135" s="23"/>
      <c r="K135" s="240"/>
    </row>
    <row r="136" spans="1:11" ht="13.15" customHeight="1" x14ac:dyDescent="0.25">
      <c r="A136" s="19" t="s">
        <v>955</v>
      </c>
      <c r="B136" s="237"/>
      <c r="C136" s="23">
        <f t="shared" ref="C136:K136" si="20">SUM(C137:C137)</f>
        <v>0</v>
      </c>
      <c r="D136" s="23">
        <f t="shared" si="20"/>
        <v>0</v>
      </c>
      <c r="E136" s="240">
        <f t="shared" si="20"/>
        <v>0</v>
      </c>
      <c r="F136" s="241">
        <f t="shared" si="20"/>
        <v>0</v>
      </c>
      <c r="G136" s="23">
        <f t="shared" si="20"/>
        <v>0</v>
      </c>
      <c r="H136" s="22">
        <f t="shared" si="20"/>
        <v>0</v>
      </c>
      <c r="I136" s="241">
        <f t="shared" si="20"/>
        <v>0</v>
      </c>
      <c r="J136" s="23">
        <f t="shared" si="20"/>
        <v>0</v>
      </c>
      <c r="K136" s="240">
        <f t="shared" si="20"/>
        <v>0</v>
      </c>
    </row>
    <row r="137" spans="1:11" ht="13.15" customHeight="1" x14ac:dyDescent="0.25">
      <c r="A137" s="20" t="s">
        <v>955</v>
      </c>
      <c r="B137" s="237"/>
      <c r="C137" s="372"/>
      <c r="D137" s="372"/>
      <c r="E137" s="373"/>
      <c r="F137" s="374"/>
      <c r="G137" s="372"/>
      <c r="H137" s="375"/>
      <c r="I137" s="374"/>
      <c r="J137" s="372"/>
      <c r="K137" s="373"/>
    </row>
    <row r="138" spans="1:11" ht="5.0999999999999996" customHeight="1" x14ac:dyDescent="0.25">
      <c r="A138" s="21"/>
      <c r="B138" s="237"/>
      <c r="C138" s="23"/>
      <c r="D138" s="23"/>
      <c r="E138" s="240"/>
      <c r="F138" s="241"/>
      <c r="G138" s="23"/>
      <c r="H138" s="22"/>
      <c r="I138" s="241"/>
      <c r="J138" s="23"/>
      <c r="K138" s="240"/>
    </row>
    <row r="139" spans="1:11" ht="13.15" customHeight="1" x14ac:dyDescent="0.25">
      <c r="A139" s="19" t="s">
        <v>956</v>
      </c>
      <c r="B139" s="237"/>
      <c r="C139" s="23">
        <f>+C140+C141</f>
        <v>0</v>
      </c>
      <c r="D139" s="23">
        <f t="shared" ref="D139:K139" si="21">+D140+D141</f>
        <v>0</v>
      </c>
      <c r="E139" s="240">
        <f t="shared" si="21"/>
        <v>0</v>
      </c>
      <c r="F139" s="241">
        <f t="shared" si="21"/>
        <v>0</v>
      </c>
      <c r="G139" s="23">
        <f t="shared" si="21"/>
        <v>0</v>
      </c>
      <c r="H139" s="22">
        <f t="shared" si="21"/>
        <v>0</v>
      </c>
      <c r="I139" s="241">
        <f t="shared" si="21"/>
        <v>0</v>
      </c>
      <c r="J139" s="23">
        <f t="shared" si="21"/>
        <v>0</v>
      </c>
      <c r="K139" s="240">
        <f t="shared" si="21"/>
        <v>0</v>
      </c>
    </row>
    <row r="140" spans="1:11" ht="13.15" customHeight="1" x14ac:dyDescent="0.25">
      <c r="A140" s="20" t="s">
        <v>957</v>
      </c>
      <c r="B140" s="237"/>
      <c r="C140" s="372"/>
      <c r="D140" s="372"/>
      <c r="E140" s="373"/>
      <c r="F140" s="374"/>
      <c r="G140" s="372"/>
      <c r="H140" s="375"/>
      <c r="I140" s="374"/>
      <c r="J140" s="372"/>
      <c r="K140" s="373"/>
    </row>
    <row r="141" spans="1:11" ht="13.15" customHeight="1" x14ac:dyDescent="0.25">
      <c r="A141" s="20" t="s">
        <v>958</v>
      </c>
      <c r="B141" s="237"/>
      <c r="C141" s="23">
        <f>SUM(C142:C147)</f>
        <v>0</v>
      </c>
      <c r="D141" s="23">
        <f t="shared" ref="D141:K141" si="22">SUM(D142:D147)</f>
        <v>0</v>
      </c>
      <c r="E141" s="23">
        <f t="shared" si="22"/>
        <v>0</v>
      </c>
      <c r="F141" s="24">
        <f t="shared" si="22"/>
        <v>0</v>
      </c>
      <c r="G141" s="23">
        <f t="shared" si="22"/>
        <v>0</v>
      </c>
      <c r="H141" s="83">
        <f t="shared" si="22"/>
        <v>0</v>
      </c>
      <c r="I141" s="319">
        <f t="shared" si="22"/>
        <v>0</v>
      </c>
      <c r="J141" s="23">
        <f t="shared" si="22"/>
        <v>0</v>
      </c>
      <c r="K141" s="83">
        <f t="shared" si="22"/>
        <v>0</v>
      </c>
    </row>
    <row r="142" spans="1:11" ht="13.15" customHeight="1" x14ac:dyDescent="0.25">
      <c r="A142" s="238" t="s">
        <v>959</v>
      </c>
      <c r="B142" s="237"/>
      <c r="C142" s="354"/>
      <c r="D142" s="354"/>
      <c r="E142" s="357"/>
      <c r="F142" s="356"/>
      <c r="G142" s="354"/>
      <c r="H142" s="357"/>
      <c r="I142" s="356"/>
      <c r="J142" s="354"/>
      <c r="K142" s="361"/>
    </row>
    <row r="143" spans="1:11" ht="13.15" customHeight="1" x14ac:dyDescent="0.25">
      <c r="A143" s="238" t="s">
        <v>960</v>
      </c>
      <c r="B143" s="237"/>
      <c r="C143" s="354"/>
      <c r="D143" s="354"/>
      <c r="E143" s="357"/>
      <c r="F143" s="356"/>
      <c r="G143" s="354"/>
      <c r="H143" s="357"/>
      <c r="I143" s="356"/>
      <c r="J143" s="354"/>
      <c r="K143" s="361"/>
    </row>
    <row r="144" spans="1:11" ht="13.15" customHeight="1" x14ac:dyDescent="0.25">
      <c r="A144" s="238" t="s">
        <v>961</v>
      </c>
      <c r="B144" s="237"/>
      <c r="C144" s="354"/>
      <c r="D144" s="354"/>
      <c r="E144" s="357"/>
      <c r="F144" s="356"/>
      <c r="G144" s="354"/>
      <c r="H144" s="357"/>
      <c r="I144" s="356"/>
      <c r="J144" s="354"/>
      <c r="K144" s="361"/>
    </row>
    <row r="145" spans="1:11" ht="13.15" customHeight="1" x14ac:dyDescent="0.25">
      <c r="A145" s="238" t="s">
        <v>962</v>
      </c>
      <c r="B145" s="237"/>
      <c r="C145" s="354"/>
      <c r="D145" s="354"/>
      <c r="E145" s="357"/>
      <c r="F145" s="356"/>
      <c r="G145" s="354"/>
      <c r="H145" s="357"/>
      <c r="I145" s="356"/>
      <c r="J145" s="354"/>
      <c r="K145" s="361"/>
    </row>
    <row r="146" spans="1:11" ht="13.15" customHeight="1" x14ac:dyDescent="0.25">
      <c r="A146" s="238" t="s">
        <v>963</v>
      </c>
      <c r="B146" s="237"/>
      <c r="C146" s="354"/>
      <c r="D146" s="354"/>
      <c r="E146" s="357"/>
      <c r="F146" s="356"/>
      <c r="G146" s="354"/>
      <c r="H146" s="357"/>
      <c r="I146" s="356"/>
      <c r="J146" s="354"/>
      <c r="K146" s="361"/>
    </row>
    <row r="147" spans="1:11" ht="13.15" customHeight="1" x14ac:dyDescent="0.25">
      <c r="A147" s="238" t="s">
        <v>964</v>
      </c>
      <c r="B147" s="237"/>
      <c r="C147" s="354"/>
      <c r="D147" s="354"/>
      <c r="E147" s="357"/>
      <c r="F147" s="356"/>
      <c r="G147" s="354"/>
      <c r="H147" s="357"/>
      <c r="I147" s="356"/>
      <c r="J147" s="354"/>
      <c r="K147" s="361"/>
    </row>
    <row r="148" spans="1:11" ht="5.0999999999999996" customHeight="1" x14ac:dyDescent="0.25">
      <c r="A148" s="21"/>
      <c r="B148" s="237"/>
      <c r="C148" s="26"/>
      <c r="D148" s="26"/>
      <c r="E148" s="233"/>
      <c r="F148" s="232"/>
      <c r="G148" s="26"/>
      <c r="H148" s="25"/>
      <c r="I148" s="232"/>
      <c r="J148" s="26"/>
      <c r="K148" s="233"/>
    </row>
    <row r="149" spans="1:11" ht="13.15" customHeight="1" x14ac:dyDescent="0.25">
      <c r="A149" s="19" t="s">
        <v>965</v>
      </c>
      <c r="B149" s="237"/>
      <c r="C149" s="23">
        <f t="shared" ref="C149:K149" si="23">SUM(C150:C150)</f>
        <v>0</v>
      </c>
      <c r="D149" s="23">
        <f t="shared" si="23"/>
        <v>0</v>
      </c>
      <c r="E149" s="240">
        <f t="shared" si="23"/>
        <v>0</v>
      </c>
      <c r="F149" s="241">
        <f t="shared" si="23"/>
        <v>0</v>
      </c>
      <c r="G149" s="23">
        <f t="shared" si="23"/>
        <v>0</v>
      </c>
      <c r="H149" s="22">
        <f t="shared" si="23"/>
        <v>0</v>
      </c>
      <c r="I149" s="241">
        <f t="shared" si="23"/>
        <v>0</v>
      </c>
      <c r="J149" s="23">
        <f t="shared" si="23"/>
        <v>0</v>
      </c>
      <c r="K149" s="240">
        <f t="shared" si="23"/>
        <v>0</v>
      </c>
    </row>
    <row r="150" spans="1:11" ht="13.15" customHeight="1" x14ac:dyDescent="0.25">
      <c r="A150" s="20" t="s">
        <v>965</v>
      </c>
      <c r="B150" s="237"/>
      <c r="C150" s="372"/>
      <c r="D150" s="372"/>
      <c r="E150" s="373"/>
      <c r="F150" s="374"/>
      <c r="G150" s="372"/>
      <c r="H150" s="375"/>
      <c r="I150" s="374"/>
      <c r="J150" s="372"/>
      <c r="K150" s="373"/>
    </row>
    <row r="151" spans="1:11" ht="5.0999999999999996" customHeight="1" x14ac:dyDescent="0.25">
      <c r="A151" s="21"/>
      <c r="B151" s="237"/>
      <c r="C151" s="23"/>
      <c r="D151" s="23"/>
      <c r="E151" s="240"/>
      <c r="F151" s="241"/>
      <c r="G151" s="23"/>
      <c r="H151" s="22"/>
      <c r="I151" s="241"/>
      <c r="J151" s="23"/>
      <c r="K151" s="240"/>
    </row>
    <row r="152" spans="1:11" ht="13.15" customHeight="1" x14ac:dyDescent="0.25">
      <c r="A152" s="19" t="s">
        <v>966</v>
      </c>
      <c r="B152" s="237"/>
      <c r="C152" s="23">
        <f t="shared" ref="C152:K152" si="24">SUM(C153:C153)</f>
        <v>0</v>
      </c>
      <c r="D152" s="23">
        <f t="shared" si="24"/>
        <v>0</v>
      </c>
      <c r="E152" s="240">
        <f t="shared" si="24"/>
        <v>0</v>
      </c>
      <c r="F152" s="241">
        <f t="shared" si="24"/>
        <v>0</v>
      </c>
      <c r="G152" s="23">
        <f t="shared" si="24"/>
        <v>0</v>
      </c>
      <c r="H152" s="22">
        <f t="shared" si="24"/>
        <v>0</v>
      </c>
      <c r="I152" s="241">
        <f t="shared" si="24"/>
        <v>0</v>
      </c>
      <c r="J152" s="23">
        <f t="shared" si="24"/>
        <v>0</v>
      </c>
      <c r="K152" s="240">
        <f t="shared" si="24"/>
        <v>0</v>
      </c>
    </row>
    <row r="153" spans="1:11" ht="13.15" customHeight="1" x14ac:dyDescent="0.25">
      <c r="A153" s="20" t="s">
        <v>966</v>
      </c>
      <c r="B153" s="237"/>
      <c r="C153" s="372"/>
      <c r="D153" s="372"/>
      <c r="E153" s="373"/>
      <c r="F153" s="374"/>
      <c r="G153" s="372"/>
      <c r="H153" s="375"/>
      <c r="I153" s="374"/>
      <c r="J153" s="372"/>
      <c r="K153" s="373"/>
    </row>
    <row r="154" spans="1:11" ht="5.0999999999999996" customHeight="1" x14ac:dyDescent="0.25">
      <c r="A154" s="21"/>
      <c r="B154" s="237"/>
      <c r="C154" s="23"/>
      <c r="D154" s="23"/>
      <c r="E154" s="240"/>
      <c r="F154" s="241"/>
      <c r="G154" s="23"/>
      <c r="H154" s="22"/>
      <c r="I154" s="241"/>
      <c r="J154" s="23"/>
      <c r="K154" s="240"/>
    </row>
    <row r="155" spans="1:11" ht="13.15" customHeight="1" x14ac:dyDescent="0.25">
      <c r="A155" s="19" t="s">
        <v>967</v>
      </c>
      <c r="B155" s="237"/>
      <c r="C155" s="23">
        <f t="shared" ref="C155:K155" si="25">SUM(C156:C156)</f>
        <v>0</v>
      </c>
      <c r="D155" s="23">
        <f t="shared" si="25"/>
        <v>0</v>
      </c>
      <c r="E155" s="240">
        <f t="shared" si="25"/>
        <v>0</v>
      </c>
      <c r="F155" s="241">
        <f t="shared" si="25"/>
        <v>0</v>
      </c>
      <c r="G155" s="23">
        <f t="shared" si="25"/>
        <v>0</v>
      </c>
      <c r="H155" s="22">
        <f t="shared" si="25"/>
        <v>0</v>
      </c>
      <c r="I155" s="241">
        <f t="shared" si="25"/>
        <v>0</v>
      </c>
      <c r="J155" s="23">
        <f t="shared" si="25"/>
        <v>0</v>
      </c>
      <c r="K155" s="240">
        <f t="shared" si="25"/>
        <v>0</v>
      </c>
    </row>
    <row r="156" spans="1:11" ht="13.15" customHeight="1" x14ac:dyDescent="0.25">
      <c r="A156" s="20" t="s">
        <v>967</v>
      </c>
      <c r="B156" s="237"/>
      <c r="C156" s="372"/>
      <c r="D156" s="372"/>
      <c r="E156" s="373"/>
      <c r="F156" s="374"/>
      <c r="G156" s="372"/>
      <c r="H156" s="375"/>
      <c r="I156" s="374"/>
      <c r="J156" s="372"/>
      <c r="K156" s="373"/>
    </row>
    <row r="157" spans="1:11" ht="5.0999999999999996" customHeight="1" x14ac:dyDescent="0.25">
      <c r="A157" s="21"/>
      <c r="B157" s="237"/>
      <c r="C157" s="23"/>
      <c r="D157" s="23"/>
      <c r="E157" s="240"/>
      <c r="F157" s="241"/>
      <c r="G157" s="23"/>
      <c r="H157" s="22"/>
      <c r="I157" s="241"/>
      <c r="J157" s="23"/>
      <c r="K157" s="240"/>
    </row>
    <row r="158" spans="1:11" ht="13.15" customHeight="1" x14ac:dyDescent="0.25">
      <c r="A158" s="19" t="s">
        <v>968</v>
      </c>
      <c r="B158" s="237"/>
      <c r="C158" s="23">
        <f t="shared" ref="C158:K158" si="26">SUM(C159:C159)</f>
        <v>0</v>
      </c>
      <c r="D158" s="23">
        <f t="shared" si="26"/>
        <v>0</v>
      </c>
      <c r="E158" s="240">
        <f t="shared" si="26"/>
        <v>0</v>
      </c>
      <c r="F158" s="241">
        <f t="shared" si="26"/>
        <v>0</v>
      </c>
      <c r="G158" s="23">
        <f t="shared" si="26"/>
        <v>0</v>
      </c>
      <c r="H158" s="22">
        <f t="shared" si="26"/>
        <v>0</v>
      </c>
      <c r="I158" s="241">
        <f t="shared" si="26"/>
        <v>0</v>
      </c>
      <c r="J158" s="23">
        <f t="shared" si="26"/>
        <v>0</v>
      </c>
      <c r="K158" s="240">
        <f t="shared" si="26"/>
        <v>0</v>
      </c>
    </row>
    <row r="159" spans="1:11" ht="13.15" customHeight="1" x14ac:dyDescent="0.25">
      <c r="A159" s="20" t="s">
        <v>968</v>
      </c>
      <c r="B159" s="237"/>
      <c r="C159" s="372"/>
      <c r="D159" s="372"/>
      <c r="E159" s="373"/>
      <c r="F159" s="374"/>
      <c r="G159" s="372"/>
      <c r="H159" s="375"/>
      <c r="I159" s="374"/>
      <c r="J159" s="372"/>
      <c r="K159" s="373"/>
    </row>
    <row r="160" spans="1:11" ht="5.0999999999999996" customHeight="1" x14ac:dyDescent="0.25">
      <c r="A160" s="21"/>
      <c r="B160" s="237"/>
      <c r="C160" s="23"/>
      <c r="D160" s="23"/>
      <c r="E160" s="240"/>
      <c r="F160" s="241"/>
      <c r="G160" s="23"/>
      <c r="H160" s="22"/>
      <c r="I160" s="241"/>
      <c r="J160" s="23"/>
      <c r="K160" s="240"/>
    </row>
    <row r="161" spans="1:11" ht="13.15" customHeight="1" x14ac:dyDescent="0.25">
      <c r="A161" s="19" t="s">
        <v>983</v>
      </c>
      <c r="B161" s="237"/>
      <c r="C161" s="23">
        <f t="shared" ref="C161:K161" si="27">SUM(C162:C162)</f>
        <v>0</v>
      </c>
      <c r="D161" s="23">
        <f t="shared" si="27"/>
        <v>0</v>
      </c>
      <c r="E161" s="240">
        <f t="shared" si="27"/>
        <v>0</v>
      </c>
      <c r="F161" s="241">
        <f t="shared" si="27"/>
        <v>0</v>
      </c>
      <c r="G161" s="23">
        <f t="shared" si="27"/>
        <v>0</v>
      </c>
      <c r="H161" s="22">
        <f t="shared" si="27"/>
        <v>0</v>
      </c>
      <c r="I161" s="241">
        <f t="shared" si="27"/>
        <v>0</v>
      </c>
      <c r="J161" s="23">
        <f t="shared" si="27"/>
        <v>0</v>
      </c>
      <c r="K161" s="240">
        <f t="shared" si="27"/>
        <v>0</v>
      </c>
    </row>
    <row r="162" spans="1:11" ht="13.15" customHeight="1" x14ac:dyDescent="0.25">
      <c r="A162" s="20" t="s">
        <v>983</v>
      </c>
      <c r="B162" s="237"/>
      <c r="C162" s="372"/>
      <c r="D162" s="372"/>
      <c r="E162" s="373"/>
      <c r="F162" s="374"/>
      <c r="G162" s="372"/>
      <c r="H162" s="375"/>
      <c r="I162" s="374"/>
      <c r="J162" s="372"/>
      <c r="K162" s="373"/>
    </row>
    <row r="163" spans="1:11" ht="5.0999999999999996" customHeight="1" x14ac:dyDescent="0.25">
      <c r="A163" s="21"/>
      <c r="B163" s="237"/>
      <c r="C163" s="23"/>
      <c r="D163" s="23"/>
      <c r="E163" s="240"/>
      <c r="F163" s="241"/>
      <c r="G163" s="23"/>
      <c r="H163" s="22"/>
      <c r="I163" s="241"/>
      <c r="J163" s="23"/>
      <c r="K163" s="240"/>
    </row>
    <row r="164" spans="1:11" ht="13.15" customHeight="1" x14ac:dyDescent="0.25">
      <c r="A164" s="19" t="s">
        <v>969</v>
      </c>
      <c r="B164" s="237"/>
      <c r="C164" s="23">
        <f t="shared" ref="C164:K164" si="28">SUM(C165:C165)</f>
        <v>0</v>
      </c>
      <c r="D164" s="23">
        <f t="shared" si="28"/>
        <v>0</v>
      </c>
      <c r="E164" s="240">
        <f t="shared" si="28"/>
        <v>0</v>
      </c>
      <c r="F164" s="241">
        <f t="shared" si="28"/>
        <v>0</v>
      </c>
      <c r="G164" s="23">
        <f t="shared" si="28"/>
        <v>0</v>
      </c>
      <c r="H164" s="22">
        <f t="shared" si="28"/>
        <v>0</v>
      </c>
      <c r="I164" s="241">
        <f t="shared" si="28"/>
        <v>0</v>
      </c>
      <c r="J164" s="23">
        <f t="shared" si="28"/>
        <v>0</v>
      </c>
      <c r="K164" s="240">
        <f t="shared" si="28"/>
        <v>0</v>
      </c>
    </row>
    <row r="165" spans="1:11" ht="13.15" customHeight="1" x14ac:dyDescent="0.25">
      <c r="A165" s="20" t="s">
        <v>969</v>
      </c>
      <c r="B165" s="237"/>
      <c r="C165" s="372"/>
      <c r="D165" s="372"/>
      <c r="E165" s="373"/>
      <c r="F165" s="374"/>
      <c r="G165" s="372"/>
      <c r="H165" s="375"/>
      <c r="I165" s="374"/>
      <c r="J165" s="372"/>
      <c r="K165" s="373"/>
    </row>
    <row r="166" spans="1:11" ht="5.0999999999999996" customHeight="1" x14ac:dyDescent="0.25">
      <c r="A166" s="21"/>
      <c r="B166" s="237"/>
      <c r="C166" s="23"/>
      <c r="D166" s="23"/>
      <c r="E166" s="240"/>
      <c r="F166" s="241"/>
      <c r="G166" s="23"/>
      <c r="H166" s="22"/>
      <c r="I166" s="241"/>
      <c r="J166" s="23"/>
      <c r="K166" s="240"/>
    </row>
    <row r="167" spans="1:11" ht="13.15" customHeight="1" x14ac:dyDescent="0.25">
      <c r="A167" s="28" t="s">
        <v>785</v>
      </c>
      <c r="B167" s="376">
        <v>1</v>
      </c>
      <c r="C167" s="29">
        <f>C6+C74+C103+C110+C118+C136+C139+C149+C152+C155+C158+C161+C164</f>
        <v>0</v>
      </c>
      <c r="D167" s="29">
        <f t="shared" ref="D167:K167" si="29">D6+D74+D103+D110+D118+D136+D139+D149+D152+D155+D158+D161+D164</f>
        <v>0</v>
      </c>
      <c r="E167" s="377">
        <f t="shared" si="29"/>
        <v>0</v>
      </c>
      <c r="F167" s="378">
        <f t="shared" si="29"/>
        <v>0</v>
      </c>
      <c r="G167" s="29">
        <f t="shared" si="29"/>
        <v>0</v>
      </c>
      <c r="H167" s="379">
        <f t="shared" si="29"/>
        <v>0</v>
      </c>
      <c r="I167" s="378">
        <f t="shared" si="29"/>
        <v>0</v>
      </c>
      <c r="J167" s="29">
        <f t="shared" si="29"/>
        <v>0</v>
      </c>
      <c r="K167" s="377">
        <f t="shared" si="29"/>
        <v>0</v>
      </c>
    </row>
    <row r="168" spans="1:11" ht="12.75" customHeight="1" x14ac:dyDescent="0.25">
      <c r="A168" s="31" t="str">
        <f>head27a</f>
        <v>References</v>
      </c>
      <c r="C168" s="35"/>
      <c r="D168" s="35"/>
      <c r="E168" s="35"/>
      <c r="F168" s="35"/>
      <c r="G168" s="35"/>
      <c r="H168" s="35"/>
      <c r="I168" s="35"/>
      <c r="J168" s="35"/>
      <c r="K168" s="35"/>
    </row>
    <row r="169" spans="1:11" ht="11.25" customHeight="1" x14ac:dyDescent="0.25">
      <c r="A169" s="41" t="s">
        <v>979</v>
      </c>
      <c r="C169" s="34"/>
      <c r="D169" s="34"/>
      <c r="E169" s="35"/>
      <c r="F169" s="35"/>
      <c r="G169" s="35"/>
      <c r="H169" s="35"/>
      <c r="I169" s="35"/>
      <c r="J169" s="35"/>
      <c r="K169" s="35"/>
    </row>
    <row r="170" spans="1:11" ht="11.25" customHeight="1" x14ac:dyDescent="0.25">
      <c r="C170" s="34"/>
      <c r="D170" s="34"/>
      <c r="E170" s="35"/>
      <c r="F170" s="35"/>
      <c r="G170" s="35"/>
      <c r="H170" s="35"/>
      <c r="I170" s="35"/>
      <c r="J170" s="35"/>
      <c r="K170" s="35"/>
    </row>
    <row r="171" spans="1:11" ht="11.25" customHeight="1" x14ac:dyDescent="0.25"/>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sheetData>
  <sheetProtection sheet="1" objects="1" scenarios="1"/>
  <printOptions horizontalCentered="1"/>
  <pageMargins left="0.37" right="0.14000000000000001" top="0.79" bottom="0.6" header="0.51181102362204722" footer="0.51"/>
  <pageSetup paperSize="9" scale="7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2">
    <tabColor rgb="FFCCFFCC"/>
    <pageSetUpPr fitToPage="1"/>
  </sheetPr>
  <dimension ref="A1:L205"/>
  <sheetViews>
    <sheetView showGridLines="0" zoomScaleNormal="100" workbookViewId="0">
      <pane xSplit="2" ySplit="3" topLeftCell="C140" activePane="bottomRight" state="frozen"/>
      <selection activeCell="A23" sqref="A23"/>
      <selection pane="topRight" activeCell="A23" sqref="A23"/>
      <selection pane="bottomLeft" activeCell="A23" sqref="A23"/>
      <selection pane="bottomRight" activeCell="P155" sqref="P155"/>
    </sheetView>
  </sheetViews>
  <sheetFormatPr defaultColWidth="9.140625" defaultRowHeight="12.75" x14ac:dyDescent="0.25"/>
  <cols>
    <col min="1" max="1" width="38.28515625" style="17" customWidth="1"/>
    <col min="2" max="2" width="3.140625" style="32" customWidth="1"/>
    <col min="3" max="11" width="8.7109375" style="17" customWidth="1"/>
    <col min="12" max="12" width="9.85546875" style="17" customWidth="1"/>
    <col min="13" max="13" width="9.5703125" style="17" customWidth="1"/>
    <col min="14" max="14" width="9.85546875" style="17" customWidth="1"/>
    <col min="15" max="17" width="9.5703125" style="17" customWidth="1"/>
    <col min="18" max="18" width="9.85546875" style="17" customWidth="1"/>
    <col min="19" max="21" width="9.5703125" style="17" customWidth="1"/>
    <col min="22" max="23" width="9.85546875" style="17" customWidth="1"/>
    <col min="24" max="16384" width="9.140625" style="17"/>
  </cols>
  <sheetData>
    <row r="1" spans="1:12" ht="13.5" x14ac:dyDescent="0.25">
      <c r="A1" s="88" t="str">
        <f>MEB9c</f>
        <v>Harry Gwala Development Agency (Pty) Ltd - Supporting Table SD7c Expenditure on repairs and maintenance by asset class</v>
      </c>
    </row>
    <row r="2" spans="1:12" ht="25.5" x14ac:dyDescent="0.25">
      <c r="A2" s="343" t="str">
        <f>desc</f>
        <v>Description</v>
      </c>
      <c r="B2" s="344" t="str">
        <f>head27</f>
        <v>Ref</v>
      </c>
      <c r="C2" s="85" t="str">
        <f>head1b</f>
        <v>2015/16</v>
      </c>
      <c r="D2" s="18" t="str">
        <f>head1A</f>
        <v>2016/17</v>
      </c>
      <c r="E2" s="80" t="str">
        <f>Head1</f>
        <v>2017/18</v>
      </c>
      <c r="F2" s="106" t="str">
        <f>Head2</f>
        <v>Current Year 2018/19</v>
      </c>
      <c r="G2" s="104"/>
      <c r="H2" s="105"/>
      <c r="I2" s="106" t="str">
        <f>Head3a</f>
        <v>Medium Term Revenue and Expenditure Framework</v>
      </c>
      <c r="J2" s="104"/>
      <c r="K2" s="105"/>
    </row>
    <row r="3" spans="1:12" ht="38.25" x14ac:dyDescent="0.25">
      <c r="A3" s="306" t="s">
        <v>826</v>
      </c>
      <c r="B3" s="251">
        <v>1</v>
      </c>
      <c r="C3" s="252" t="str">
        <f>Head5</f>
        <v>Audited Outcome</v>
      </c>
      <c r="D3" s="253" t="str">
        <f>Head5</f>
        <v>Audited Outcome</v>
      </c>
      <c r="E3" s="254" t="str">
        <f>Head5</f>
        <v>Audited Outcome</v>
      </c>
      <c r="F3" s="341" t="str">
        <f>Head6</f>
        <v>Original Budget</v>
      </c>
      <c r="G3" s="252" t="str">
        <f>Head7</f>
        <v>Adjusted Budget</v>
      </c>
      <c r="H3" s="342" t="str">
        <f>Head8</f>
        <v>Full Year Forecast</v>
      </c>
      <c r="I3" s="341" t="str">
        <f>Head9</f>
        <v>Budget Year 2019/20</v>
      </c>
      <c r="J3" s="252" t="str">
        <f>Head10</f>
        <v>Budget Year +1 2020/21</v>
      </c>
      <c r="K3" s="254" t="str">
        <f>Head11</f>
        <v>Budget Year +2 2021/22</v>
      </c>
    </row>
    <row r="4" spans="1:12" ht="12.75" customHeight="1" x14ac:dyDescent="0.25">
      <c r="A4" s="19" t="s">
        <v>828</v>
      </c>
      <c r="B4" s="345"/>
      <c r="C4" s="24"/>
      <c r="D4" s="23"/>
      <c r="E4" s="83"/>
      <c r="F4" s="24"/>
      <c r="G4" s="23"/>
      <c r="H4" s="83"/>
      <c r="I4" s="24"/>
      <c r="J4" s="23"/>
      <c r="K4" s="83"/>
    </row>
    <row r="5" spans="1:12" ht="5.0999999999999996" customHeight="1" x14ac:dyDescent="0.25">
      <c r="A5" s="19"/>
      <c r="B5" s="345"/>
      <c r="C5" s="24"/>
      <c r="D5" s="23"/>
      <c r="E5" s="83"/>
      <c r="F5" s="24"/>
      <c r="G5" s="23"/>
      <c r="H5" s="83"/>
      <c r="I5" s="24"/>
      <c r="J5" s="23"/>
      <c r="K5" s="83"/>
    </row>
    <row r="6" spans="1:12" ht="13.15" customHeight="1" x14ac:dyDescent="0.25">
      <c r="A6" s="19" t="s">
        <v>162</v>
      </c>
      <c r="B6" s="237"/>
      <c r="C6" s="26">
        <f>C7+C12+C16+C26+C37+C44+C52+C62+C68</f>
        <v>0</v>
      </c>
      <c r="D6" s="26">
        <f t="shared" ref="D6:K6" si="0">D7+D12+D16+D26+D37+D44+D52+D62+D68</f>
        <v>0</v>
      </c>
      <c r="E6" s="233">
        <f t="shared" si="0"/>
        <v>0</v>
      </c>
      <c r="F6" s="232">
        <f t="shared" si="0"/>
        <v>0</v>
      </c>
      <c r="G6" s="26">
        <f t="shared" si="0"/>
        <v>0</v>
      </c>
      <c r="H6" s="25">
        <f t="shared" si="0"/>
        <v>0</v>
      </c>
      <c r="I6" s="232">
        <f t="shared" si="0"/>
        <v>0</v>
      </c>
      <c r="J6" s="26">
        <f t="shared" si="0"/>
        <v>0</v>
      </c>
      <c r="K6" s="233">
        <f t="shared" si="0"/>
        <v>0</v>
      </c>
    </row>
    <row r="7" spans="1:12" s="352" customFormat="1" ht="13.15" customHeight="1" x14ac:dyDescent="0.25">
      <c r="A7" s="20" t="s">
        <v>858</v>
      </c>
      <c r="B7" s="237"/>
      <c r="C7" s="48">
        <f t="shared" ref="C7:K7" si="1">SUM(C8:C11)</f>
        <v>0</v>
      </c>
      <c r="D7" s="48">
        <f t="shared" si="1"/>
        <v>0</v>
      </c>
      <c r="E7" s="317">
        <f t="shared" si="1"/>
        <v>0</v>
      </c>
      <c r="F7" s="49">
        <f t="shared" si="1"/>
        <v>0</v>
      </c>
      <c r="G7" s="48">
        <f t="shared" si="1"/>
        <v>0</v>
      </c>
      <c r="H7" s="100">
        <f t="shared" si="1"/>
        <v>0</v>
      </c>
      <c r="I7" s="49">
        <f t="shared" si="1"/>
        <v>0</v>
      </c>
      <c r="J7" s="48">
        <f t="shared" si="1"/>
        <v>0</v>
      </c>
      <c r="K7" s="100">
        <f t="shared" si="1"/>
        <v>0</v>
      </c>
      <c r="L7" s="17"/>
    </row>
    <row r="8" spans="1:12" s="352" customFormat="1" ht="13.15" customHeight="1" x14ac:dyDescent="0.25">
      <c r="A8" s="238" t="s">
        <v>510</v>
      </c>
      <c r="B8" s="237"/>
      <c r="C8" s="354"/>
      <c r="D8" s="354"/>
      <c r="E8" s="355"/>
      <c r="F8" s="356"/>
      <c r="G8" s="354"/>
      <c r="H8" s="357"/>
      <c r="I8" s="356"/>
      <c r="J8" s="354"/>
      <c r="K8" s="355"/>
      <c r="L8" s="17"/>
    </row>
    <row r="9" spans="1:12" s="352" customFormat="1" ht="13.15" customHeight="1" x14ac:dyDescent="0.25">
      <c r="A9" s="238" t="s">
        <v>859</v>
      </c>
      <c r="B9" s="237"/>
      <c r="C9" s="354"/>
      <c r="D9" s="354"/>
      <c r="E9" s="355"/>
      <c r="F9" s="356"/>
      <c r="G9" s="354"/>
      <c r="H9" s="357"/>
      <c r="I9" s="356"/>
      <c r="J9" s="354"/>
      <c r="K9" s="355"/>
      <c r="L9" s="358"/>
    </row>
    <row r="10" spans="1:12" s="352" customFormat="1" ht="13.15" customHeight="1" x14ac:dyDescent="0.25">
      <c r="A10" s="238" t="s">
        <v>860</v>
      </c>
      <c r="B10" s="237"/>
      <c r="C10" s="354"/>
      <c r="D10" s="354"/>
      <c r="E10" s="355"/>
      <c r="F10" s="356"/>
      <c r="G10" s="354"/>
      <c r="H10" s="357"/>
      <c r="I10" s="356"/>
      <c r="J10" s="354"/>
      <c r="K10" s="355"/>
      <c r="L10" s="358"/>
    </row>
    <row r="11" spans="1:12" s="352" customFormat="1" ht="13.15" customHeight="1" x14ac:dyDescent="0.25">
      <c r="A11" s="238" t="s">
        <v>861</v>
      </c>
      <c r="B11" s="237"/>
      <c r="C11" s="354"/>
      <c r="D11" s="354"/>
      <c r="E11" s="355"/>
      <c r="F11" s="356"/>
      <c r="G11" s="354"/>
      <c r="H11" s="357"/>
      <c r="I11" s="356"/>
      <c r="J11" s="354"/>
      <c r="K11" s="355"/>
      <c r="L11" s="358"/>
    </row>
    <row r="12" spans="1:12" s="352" customFormat="1" ht="13.15" customHeight="1" x14ac:dyDescent="0.25">
      <c r="A12" s="20" t="s">
        <v>862</v>
      </c>
      <c r="B12" s="237"/>
      <c r="C12" s="23">
        <f>SUM(C13:C15)</f>
        <v>0</v>
      </c>
      <c r="D12" s="23">
        <f t="shared" ref="D12:K12" si="2">SUM(D13:D15)</f>
        <v>0</v>
      </c>
      <c r="E12" s="50">
        <f t="shared" si="2"/>
        <v>0</v>
      </c>
      <c r="F12" s="24">
        <f t="shared" si="2"/>
        <v>0</v>
      </c>
      <c r="G12" s="23">
        <f t="shared" si="2"/>
        <v>0</v>
      </c>
      <c r="H12" s="83">
        <f t="shared" si="2"/>
        <v>0</v>
      </c>
      <c r="I12" s="319">
        <f t="shared" si="2"/>
        <v>0</v>
      </c>
      <c r="J12" s="23">
        <f t="shared" si="2"/>
        <v>0</v>
      </c>
      <c r="K12" s="83">
        <f t="shared" si="2"/>
        <v>0</v>
      </c>
      <c r="L12" s="358"/>
    </row>
    <row r="13" spans="1:12" s="352" customFormat="1" ht="13.15" customHeight="1" x14ac:dyDescent="0.25">
      <c r="A13" s="238" t="s">
        <v>863</v>
      </c>
      <c r="B13" s="237"/>
      <c r="C13" s="354"/>
      <c r="D13" s="354"/>
      <c r="E13" s="359"/>
      <c r="F13" s="360"/>
      <c r="G13" s="354"/>
      <c r="H13" s="361"/>
      <c r="I13" s="362"/>
      <c r="J13" s="354"/>
      <c r="K13" s="361"/>
      <c r="L13" s="358"/>
    </row>
    <row r="14" spans="1:12" s="352" customFormat="1" ht="13.15" customHeight="1" x14ac:dyDescent="0.25">
      <c r="A14" s="238" t="s">
        <v>864</v>
      </c>
      <c r="B14" s="237"/>
      <c r="C14" s="354"/>
      <c r="D14" s="354"/>
      <c r="E14" s="359"/>
      <c r="F14" s="360"/>
      <c r="G14" s="354"/>
      <c r="H14" s="361"/>
      <c r="I14" s="362"/>
      <c r="J14" s="354"/>
      <c r="K14" s="361"/>
      <c r="L14" s="358"/>
    </row>
    <row r="15" spans="1:12" s="352" customFormat="1" ht="13.15" customHeight="1" x14ac:dyDescent="0.25">
      <c r="A15" s="238" t="s">
        <v>865</v>
      </c>
      <c r="B15" s="237"/>
      <c r="C15" s="354"/>
      <c r="D15" s="354"/>
      <c r="E15" s="359"/>
      <c r="F15" s="360"/>
      <c r="G15" s="354"/>
      <c r="H15" s="361"/>
      <c r="I15" s="362"/>
      <c r="J15" s="354"/>
      <c r="K15" s="361"/>
      <c r="L15" s="358"/>
    </row>
    <row r="16" spans="1:12" s="352" customFormat="1" ht="13.15" customHeight="1" x14ac:dyDescent="0.25">
      <c r="A16" s="20" t="s">
        <v>866</v>
      </c>
      <c r="B16" s="237"/>
      <c r="C16" s="23">
        <f t="shared" ref="C16:K16" si="3">SUM(C17:C25)</f>
        <v>0</v>
      </c>
      <c r="D16" s="23">
        <f t="shared" si="3"/>
        <v>0</v>
      </c>
      <c r="E16" s="50">
        <f t="shared" si="3"/>
        <v>0</v>
      </c>
      <c r="F16" s="24">
        <f t="shared" si="3"/>
        <v>0</v>
      </c>
      <c r="G16" s="23">
        <f t="shared" si="3"/>
        <v>0</v>
      </c>
      <c r="H16" s="83">
        <f t="shared" si="3"/>
        <v>0</v>
      </c>
      <c r="I16" s="319">
        <f t="shared" si="3"/>
        <v>0</v>
      </c>
      <c r="J16" s="23">
        <f t="shared" si="3"/>
        <v>0</v>
      </c>
      <c r="K16" s="83">
        <f t="shared" si="3"/>
        <v>0</v>
      </c>
      <c r="L16" s="358"/>
    </row>
    <row r="17" spans="1:12" s="352" customFormat="1" ht="13.15" customHeight="1" x14ac:dyDescent="0.25">
      <c r="A17" s="238" t="s">
        <v>867</v>
      </c>
      <c r="B17" s="237"/>
      <c r="C17" s="354"/>
      <c r="D17" s="354"/>
      <c r="E17" s="359"/>
      <c r="F17" s="360"/>
      <c r="G17" s="354"/>
      <c r="H17" s="361"/>
      <c r="I17" s="362"/>
      <c r="J17" s="354"/>
      <c r="K17" s="361"/>
      <c r="L17" s="358"/>
    </row>
    <row r="18" spans="1:12" s="352" customFormat="1" ht="13.15" customHeight="1" x14ac:dyDescent="0.25">
      <c r="A18" s="238" t="s">
        <v>868</v>
      </c>
      <c r="B18" s="237"/>
      <c r="C18" s="354"/>
      <c r="D18" s="354"/>
      <c r="E18" s="359"/>
      <c r="F18" s="360"/>
      <c r="G18" s="354"/>
      <c r="H18" s="361"/>
      <c r="I18" s="362"/>
      <c r="J18" s="354"/>
      <c r="K18" s="361"/>
      <c r="L18" s="358"/>
    </row>
    <row r="19" spans="1:12" s="352" customFormat="1" ht="13.15" customHeight="1" x14ac:dyDescent="0.25">
      <c r="A19" s="238" t="s">
        <v>869</v>
      </c>
      <c r="B19" s="237"/>
      <c r="C19" s="354"/>
      <c r="D19" s="354"/>
      <c r="E19" s="359"/>
      <c r="F19" s="360"/>
      <c r="G19" s="354"/>
      <c r="H19" s="361"/>
      <c r="I19" s="362"/>
      <c r="J19" s="354"/>
      <c r="K19" s="361"/>
      <c r="L19" s="358"/>
    </row>
    <row r="20" spans="1:12" s="352" customFormat="1" ht="13.15" customHeight="1" x14ac:dyDescent="0.25">
      <c r="A20" s="238" t="s">
        <v>870</v>
      </c>
      <c r="B20" s="237"/>
      <c r="C20" s="354"/>
      <c r="D20" s="354"/>
      <c r="E20" s="359"/>
      <c r="F20" s="360"/>
      <c r="G20" s="354"/>
      <c r="H20" s="361"/>
      <c r="I20" s="362"/>
      <c r="J20" s="354"/>
      <c r="K20" s="361"/>
      <c r="L20" s="358"/>
    </row>
    <row r="21" spans="1:12" s="352" customFormat="1" ht="13.15" customHeight="1" x14ac:dyDescent="0.25">
      <c r="A21" s="238" t="s">
        <v>871</v>
      </c>
      <c r="B21" s="237"/>
      <c r="C21" s="354"/>
      <c r="D21" s="354"/>
      <c r="E21" s="359"/>
      <c r="F21" s="360"/>
      <c r="G21" s="354"/>
      <c r="H21" s="361"/>
      <c r="I21" s="362"/>
      <c r="J21" s="354"/>
      <c r="K21" s="361"/>
      <c r="L21" s="358"/>
    </row>
    <row r="22" spans="1:12" s="352" customFormat="1" ht="13.15" customHeight="1" x14ac:dyDescent="0.25">
      <c r="A22" s="238" t="s">
        <v>872</v>
      </c>
      <c r="B22" s="237"/>
      <c r="C22" s="354"/>
      <c r="D22" s="354"/>
      <c r="E22" s="359"/>
      <c r="F22" s="360"/>
      <c r="G22" s="354"/>
      <c r="H22" s="361"/>
      <c r="I22" s="362"/>
      <c r="J22" s="354"/>
      <c r="K22" s="361"/>
      <c r="L22" s="17"/>
    </row>
    <row r="23" spans="1:12" s="352" customFormat="1" ht="13.15" customHeight="1" x14ac:dyDescent="0.25">
      <c r="A23" s="238" t="s">
        <v>873</v>
      </c>
      <c r="B23" s="237"/>
      <c r="C23" s="354"/>
      <c r="D23" s="354"/>
      <c r="E23" s="359"/>
      <c r="F23" s="360"/>
      <c r="G23" s="354"/>
      <c r="H23" s="361"/>
      <c r="I23" s="362"/>
      <c r="J23" s="354"/>
      <c r="K23" s="361"/>
      <c r="L23" s="358"/>
    </row>
    <row r="24" spans="1:12" s="352" customFormat="1" ht="13.15" customHeight="1" x14ac:dyDescent="0.25">
      <c r="A24" s="238" t="s">
        <v>874</v>
      </c>
      <c r="B24" s="237"/>
      <c r="C24" s="354"/>
      <c r="D24" s="354"/>
      <c r="E24" s="359"/>
      <c r="F24" s="360"/>
      <c r="G24" s="354"/>
      <c r="H24" s="361"/>
      <c r="I24" s="362"/>
      <c r="J24" s="354"/>
      <c r="K24" s="361"/>
      <c r="L24" s="358"/>
    </row>
    <row r="25" spans="1:12" s="352" customFormat="1" ht="13.15" customHeight="1" x14ac:dyDescent="0.25">
      <c r="A25" s="238" t="s">
        <v>861</v>
      </c>
      <c r="B25" s="237"/>
      <c r="C25" s="354"/>
      <c r="D25" s="354"/>
      <c r="E25" s="359"/>
      <c r="F25" s="360"/>
      <c r="G25" s="354"/>
      <c r="H25" s="361"/>
      <c r="I25" s="362"/>
      <c r="J25" s="354"/>
      <c r="K25" s="361"/>
      <c r="L25" s="358"/>
    </row>
    <row r="26" spans="1:12" ht="13.15" customHeight="1" x14ac:dyDescent="0.25">
      <c r="A26" s="20" t="s">
        <v>875</v>
      </c>
      <c r="B26" s="237"/>
      <c r="C26" s="23">
        <f>SUM(C27:C36)</f>
        <v>0</v>
      </c>
      <c r="D26" s="23">
        <f t="shared" ref="D26:K26" si="4">SUM(D27:D36)</f>
        <v>0</v>
      </c>
      <c r="E26" s="50">
        <f t="shared" si="4"/>
        <v>0</v>
      </c>
      <c r="F26" s="24">
        <f t="shared" si="4"/>
        <v>0</v>
      </c>
      <c r="G26" s="23">
        <f t="shared" si="4"/>
        <v>0</v>
      </c>
      <c r="H26" s="83">
        <f t="shared" si="4"/>
        <v>0</v>
      </c>
      <c r="I26" s="319">
        <f t="shared" si="4"/>
        <v>0</v>
      </c>
      <c r="J26" s="23">
        <f t="shared" si="4"/>
        <v>0</v>
      </c>
      <c r="K26" s="83">
        <f t="shared" si="4"/>
        <v>0</v>
      </c>
    </row>
    <row r="27" spans="1:12" ht="13.15" customHeight="1" x14ac:dyDescent="0.25">
      <c r="A27" s="238" t="s">
        <v>876</v>
      </c>
      <c r="B27" s="237"/>
      <c r="C27" s="354"/>
      <c r="D27" s="354"/>
      <c r="E27" s="359"/>
      <c r="F27" s="360"/>
      <c r="G27" s="354"/>
      <c r="H27" s="361"/>
      <c r="I27" s="362"/>
      <c r="J27" s="354"/>
      <c r="K27" s="361"/>
    </row>
    <row r="28" spans="1:12" ht="13.15" customHeight="1" x14ac:dyDescent="0.25">
      <c r="A28" s="238" t="s">
        <v>877</v>
      </c>
      <c r="B28" s="237"/>
      <c r="C28" s="354"/>
      <c r="D28" s="354"/>
      <c r="E28" s="359"/>
      <c r="F28" s="360"/>
      <c r="G28" s="354"/>
      <c r="H28" s="361"/>
      <c r="I28" s="362"/>
      <c r="J28" s="354"/>
      <c r="K28" s="361"/>
      <c r="L28" s="358"/>
    </row>
    <row r="29" spans="1:12" ht="13.15" customHeight="1" x14ac:dyDescent="0.25">
      <c r="A29" s="238" t="s">
        <v>878</v>
      </c>
      <c r="B29" s="237"/>
      <c r="C29" s="354"/>
      <c r="D29" s="354"/>
      <c r="E29" s="359"/>
      <c r="F29" s="360"/>
      <c r="G29" s="354"/>
      <c r="H29" s="361"/>
      <c r="I29" s="362"/>
      <c r="J29" s="354"/>
      <c r="K29" s="361"/>
      <c r="L29" s="358"/>
    </row>
    <row r="30" spans="1:12" ht="13.15" customHeight="1" x14ac:dyDescent="0.25">
      <c r="A30" s="238" t="s">
        <v>879</v>
      </c>
      <c r="B30" s="237"/>
      <c r="C30" s="354"/>
      <c r="D30" s="354"/>
      <c r="E30" s="359"/>
      <c r="F30" s="360"/>
      <c r="G30" s="354"/>
      <c r="H30" s="361"/>
      <c r="I30" s="362"/>
      <c r="J30" s="354"/>
      <c r="K30" s="361"/>
      <c r="L30" s="358"/>
    </row>
    <row r="31" spans="1:12" ht="13.15" customHeight="1" x14ac:dyDescent="0.25">
      <c r="A31" s="238" t="s">
        <v>880</v>
      </c>
      <c r="B31" s="237"/>
      <c r="C31" s="354"/>
      <c r="D31" s="354"/>
      <c r="E31" s="359"/>
      <c r="F31" s="360"/>
      <c r="G31" s="354"/>
      <c r="H31" s="361"/>
      <c r="I31" s="362"/>
      <c r="J31" s="354"/>
      <c r="K31" s="361"/>
      <c r="L31" s="358"/>
    </row>
    <row r="32" spans="1:12" ht="13.15" customHeight="1" x14ac:dyDescent="0.25">
      <c r="A32" s="238" t="s">
        <v>881</v>
      </c>
      <c r="B32" s="237"/>
      <c r="C32" s="354"/>
      <c r="D32" s="354"/>
      <c r="E32" s="359"/>
      <c r="F32" s="360"/>
      <c r="G32" s="354"/>
      <c r="H32" s="361"/>
      <c r="I32" s="362"/>
      <c r="J32" s="354"/>
      <c r="K32" s="361"/>
      <c r="L32" s="358"/>
    </row>
    <row r="33" spans="1:12" ht="13.15" customHeight="1" x14ac:dyDescent="0.25">
      <c r="A33" s="238" t="s">
        <v>882</v>
      </c>
      <c r="B33" s="237"/>
      <c r="C33" s="354"/>
      <c r="D33" s="354"/>
      <c r="E33" s="359"/>
      <c r="F33" s="360"/>
      <c r="G33" s="354"/>
      <c r="H33" s="361"/>
      <c r="I33" s="362"/>
      <c r="J33" s="354"/>
      <c r="K33" s="361"/>
      <c r="L33" s="358"/>
    </row>
    <row r="34" spans="1:12" ht="13.15" customHeight="1" x14ac:dyDescent="0.25">
      <c r="A34" s="238" t="s">
        <v>883</v>
      </c>
      <c r="B34" s="237"/>
      <c r="C34" s="354"/>
      <c r="D34" s="354"/>
      <c r="E34" s="359"/>
      <c r="F34" s="360"/>
      <c r="G34" s="354"/>
      <c r="H34" s="361"/>
      <c r="I34" s="362"/>
      <c r="J34" s="354"/>
      <c r="K34" s="361"/>
      <c r="L34" s="358"/>
    </row>
    <row r="35" spans="1:12" ht="13.15" customHeight="1" x14ac:dyDescent="0.25">
      <c r="A35" s="238" t="s">
        <v>884</v>
      </c>
      <c r="B35" s="237"/>
      <c r="C35" s="354"/>
      <c r="D35" s="354"/>
      <c r="E35" s="359"/>
      <c r="F35" s="360"/>
      <c r="G35" s="354"/>
      <c r="H35" s="361"/>
      <c r="I35" s="362"/>
      <c r="J35" s="354"/>
      <c r="K35" s="361"/>
      <c r="L35" s="358"/>
    </row>
    <row r="36" spans="1:12" ht="13.15" customHeight="1" x14ac:dyDescent="0.25">
      <c r="A36" s="238" t="s">
        <v>861</v>
      </c>
      <c r="B36" s="237"/>
      <c r="C36" s="354"/>
      <c r="D36" s="354"/>
      <c r="E36" s="359"/>
      <c r="F36" s="360"/>
      <c r="G36" s="354"/>
      <c r="H36" s="361"/>
      <c r="I36" s="362"/>
      <c r="J36" s="354"/>
      <c r="K36" s="361"/>
      <c r="L36" s="358"/>
    </row>
    <row r="37" spans="1:12" ht="13.15" customHeight="1" x14ac:dyDescent="0.25">
      <c r="A37" s="20" t="s">
        <v>885</v>
      </c>
      <c r="B37" s="237"/>
      <c r="C37" s="23">
        <f>SUM(C38:C43)</f>
        <v>0</v>
      </c>
      <c r="D37" s="23">
        <f t="shared" ref="D37:K37" si="5">SUM(D38:D43)</f>
        <v>0</v>
      </c>
      <c r="E37" s="50">
        <f t="shared" si="5"/>
        <v>0</v>
      </c>
      <c r="F37" s="24">
        <f t="shared" si="5"/>
        <v>0</v>
      </c>
      <c r="G37" s="23">
        <f t="shared" si="5"/>
        <v>0</v>
      </c>
      <c r="H37" s="83">
        <f t="shared" si="5"/>
        <v>0</v>
      </c>
      <c r="I37" s="319">
        <f t="shared" si="5"/>
        <v>0</v>
      </c>
      <c r="J37" s="23">
        <f t="shared" si="5"/>
        <v>0</v>
      </c>
      <c r="K37" s="83">
        <f t="shared" si="5"/>
        <v>0</v>
      </c>
      <c r="L37" s="358"/>
    </row>
    <row r="38" spans="1:12" ht="13.15" customHeight="1" x14ac:dyDescent="0.25">
      <c r="A38" s="238" t="s">
        <v>886</v>
      </c>
      <c r="B38" s="237"/>
      <c r="C38" s="354"/>
      <c r="D38" s="354"/>
      <c r="E38" s="359"/>
      <c r="F38" s="360"/>
      <c r="G38" s="354"/>
      <c r="H38" s="361"/>
      <c r="I38" s="362"/>
      <c r="J38" s="354"/>
      <c r="K38" s="361"/>
      <c r="L38" s="358"/>
    </row>
    <row r="39" spans="1:12" ht="13.15" customHeight="1" x14ac:dyDescent="0.25">
      <c r="A39" s="238" t="s">
        <v>500</v>
      </c>
      <c r="B39" s="237"/>
      <c r="C39" s="354"/>
      <c r="D39" s="354"/>
      <c r="E39" s="359"/>
      <c r="F39" s="360"/>
      <c r="G39" s="354"/>
      <c r="H39" s="361"/>
      <c r="I39" s="362"/>
      <c r="J39" s="354"/>
      <c r="K39" s="361"/>
      <c r="L39" s="358"/>
    </row>
    <row r="40" spans="1:12" ht="13.15" customHeight="1" x14ac:dyDescent="0.25">
      <c r="A40" s="238" t="s">
        <v>887</v>
      </c>
      <c r="B40" s="237"/>
      <c r="C40" s="354"/>
      <c r="D40" s="354"/>
      <c r="E40" s="359"/>
      <c r="F40" s="360"/>
      <c r="G40" s="354"/>
      <c r="H40" s="361"/>
      <c r="I40" s="362"/>
      <c r="J40" s="354"/>
      <c r="K40" s="361"/>
    </row>
    <row r="41" spans="1:12" ht="13.15" customHeight="1" x14ac:dyDescent="0.25">
      <c r="A41" s="238" t="s">
        <v>888</v>
      </c>
      <c r="B41" s="237"/>
      <c r="C41" s="354"/>
      <c r="D41" s="354"/>
      <c r="E41" s="359"/>
      <c r="F41" s="360"/>
      <c r="G41" s="354"/>
      <c r="H41" s="361"/>
      <c r="I41" s="362"/>
      <c r="J41" s="354"/>
      <c r="K41" s="361"/>
      <c r="L41" s="358"/>
    </row>
    <row r="42" spans="1:12" ht="13.15" customHeight="1" x14ac:dyDescent="0.25">
      <c r="A42" s="238" t="s">
        <v>889</v>
      </c>
      <c r="B42" s="237"/>
      <c r="C42" s="354"/>
      <c r="D42" s="354"/>
      <c r="E42" s="359"/>
      <c r="F42" s="360"/>
      <c r="G42" s="354"/>
      <c r="H42" s="361"/>
      <c r="I42" s="362"/>
      <c r="J42" s="354"/>
      <c r="K42" s="361"/>
    </row>
    <row r="43" spans="1:12" ht="13.15" customHeight="1" x14ac:dyDescent="0.25">
      <c r="A43" s="238" t="s">
        <v>861</v>
      </c>
      <c r="B43" s="237"/>
      <c r="C43" s="354"/>
      <c r="D43" s="354"/>
      <c r="E43" s="359"/>
      <c r="F43" s="360"/>
      <c r="G43" s="354"/>
      <c r="H43" s="361"/>
      <c r="I43" s="362"/>
      <c r="J43" s="354"/>
      <c r="K43" s="361"/>
    </row>
    <row r="44" spans="1:12" ht="13.15" customHeight="1" x14ac:dyDescent="0.25">
      <c r="A44" s="20" t="s">
        <v>890</v>
      </c>
      <c r="B44" s="237"/>
      <c r="C44" s="23">
        <f>SUM(C45:C51)</f>
        <v>0</v>
      </c>
      <c r="D44" s="23">
        <f t="shared" ref="D44:K44" si="6">SUM(D45:D51)</f>
        <v>0</v>
      </c>
      <c r="E44" s="50">
        <f t="shared" si="6"/>
        <v>0</v>
      </c>
      <c r="F44" s="24">
        <f t="shared" si="6"/>
        <v>0</v>
      </c>
      <c r="G44" s="23">
        <f t="shared" si="6"/>
        <v>0</v>
      </c>
      <c r="H44" s="83">
        <f t="shared" si="6"/>
        <v>0</v>
      </c>
      <c r="I44" s="319">
        <f t="shared" si="6"/>
        <v>0</v>
      </c>
      <c r="J44" s="23">
        <f t="shared" si="6"/>
        <v>0</v>
      </c>
      <c r="K44" s="83">
        <f t="shared" si="6"/>
        <v>0</v>
      </c>
    </row>
    <row r="45" spans="1:12" ht="13.15" customHeight="1" x14ac:dyDescent="0.25">
      <c r="A45" s="238" t="s">
        <v>891</v>
      </c>
      <c r="B45" s="237"/>
      <c r="C45" s="354"/>
      <c r="D45" s="354"/>
      <c r="E45" s="359"/>
      <c r="F45" s="360"/>
      <c r="G45" s="354"/>
      <c r="H45" s="361"/>
      <c r="I45" s="362"/>
      <c r="J45" s="354"/>
      <c r="K45" s="361"/>
    </row>
    <row r="46" spans="1:12" ht="13.15" customHeight="1" x14ac:dyDescent="0.25">
      <c r="A46" s="238" t="s">
        <v>892</v>
      </c>
      <c r="B46" s="237"/>
      <c r="C46" s="354"/>
      <c r="D46" s="354"/>
      <c r="E46" s="359"/>
      <c r="F46" s="360"/>
      <c r="G46" s="354"/>
      <c r="H46" s="361"/>
      <c r="I46" s="362"/>
      <c r="J46" s="354"/>
      <c r="K46" s="361"/>
    </row>
    <row r="47" spans="1:12" ht="13.15" customHeight="1" x14ac:dyDescent="0.25">
      <c r="A47" s="238" t="s">
        <v>893</v>
      </c>
      <c r="B47" s="237"/>
      <c r="C47" s="354"/>
      <c r="D47" s="354"/>
      <c r="E47" s="359"/>
      <c r="F47" s="360"/>
      <c r="G47" s="354"/>
      <c r="H47" s="361"/>
      <c r="I47" s="362"/>
      <c r="J47" s="354"/>
      <c r="K47" s="361"/>
    </row>
    <row r="48" spans="1:12" ht="13.15" customHeight="1" x14ac:dyDescent="0.25">
      <c r="A48" s="238" t="s">
        <v>894</v>
      </c>
      <c r="B48" s="237"/>
      <c r="C48" s="354"/>
      <c r="D48" s="354"/>
      <c r="E48" s="359"/>
      <c r="F48" s="360"/>
      <c r="G48" s="354"/>
      <c r="H48" s="361"/>
      <c r="I48" s="362"/>
      <c r="J48" s="354"/>
      <c r="K48" s="361"/>
      <c r="L48" s="358"/>
    </row>
    <row r="49" spans="1:12" ht="13.15" customHeight="1" x14ac:dyDescent="0.25">
      <c r="A49" s="238" t="s">
        <v>895</v>
      </c>
      <c r="B49" s="237"/>
      <c r="C49" s="354"/>
      <c r="D49" s="354"/>
      <c r="E49" s="359"/>
      <c r="F49" s="360"/>
      <c r="G49" s="354"/>
      <c r="H49" s="361"/>
      <c r="I49" s="362"/>
      <c r="J49" s="354"/>
      <c r="K49" s="361"/>
    </row>
    <row r="50" spans="1:12" ht="13.15" customHeight="1" x14ac:dyDescent="0.25">
      <c r="A50" s="238" t="s">
        <v>896</v>
      </c>
      <c r="B50" s="237"/>
      <c r="C50" s="354"/>
      <c r="D50" s="354"/>
      <c r="E50" s="359"/>
      <c r="F50" s="360"/>
      <c r="G50" s="354"/>
      <c r="H50" s="361"/>
      <c r="I50" s="362"/>
      <c r="J50" s="354"/>
      <c r="K50" s="361"/>
    </row>
    <row r="51" spans="1:12" ht="13.15" customHeight="1" x14ac:dyDescent="0.25">
      <c r="A51" s="238" t="s">
        <v>861</v>
      </c>
      <c r="B51" s="237"/>
      <c r="C51" s="354"/>
      <c r="D51" s="354"/>
      <c r="E51" s="359"/>
      <c r="F51" s="360"/>
      <c r="G51" s="354"/>
      <c r="H51" s="361"/>
      <c r="I51" s="362"/>
      <c r="J51" s="354"/>
      <c r="K51" s="361"/>
    </row>
    <row r="52" spans="1:12" ht="13.15" customHeight="1" x14ac:dyDescent="0.25">
      <c r="A52" s="20" t="s">
        <v>897</v>
      </c>
      <c r="B52" s="237"/>
      <c r="C52" s="23">
        <f t="shared" ref="C52:K52" si="7">SUM(C53:C61)</f>
        <v>0</v>
      </c>
      <c r="D52" s="23">
        <f t="shared" si="7"/>
        <v>0</v>
      </c>
      <c r="E52" s="50">
        <f t="shared" si="7"/>
        <v>0</v>
      </c>
      <c r="F52" s="24">
        <f t="shared" si="7"/>
        <v>0</v>
      </c>
      <c r="G52" s="23">
        <f t="shared" si="7"/>
        <v>0</v>
      </c>
      <c r="H52" s="83">
        <f t="shared" si="7"/>
        <v>0</v>
      </c>
      <c r="I52" s="319">
        <f t="shared" si="7"/>
        <v>0</v>
      </c>
      <c r="J52" s="23">
        <f t="shared" si="7"/>
        <v>0</v>
      </c>
      <c r="K52" s="83">
        <f t="shared" si="7"/>
        <v>0</v>
      </c>
      <c r="L52" s="358"/>
    </row>
    <row r="53" spans="1:12" ht="13.15" customHeight="1" x14ac:dyDescent="0.25">
      <c r="A53" s="238" t="s">
        <v>898</v>
      </c>
      <c r="B53" s="237"/>
      <c r="C53" s="354"/>
      <c r="D53" s="354"/>
      <c r="E53" s="359"/>
      <c r="F53" s="360"/>
      <c r="G53" s="354"/>
      <c r="H53" s="361"/>
      <c r="I53" s="362"/>
      <c r="J53" s="354"/>
      <c r="K53" s="361"/>
    </row>
    <row r="54" spans="1:12" ht="13.15" customHeight="1" x14ac:dyDescent="0.25">
      <c r="A54" s="238" t="s">
        <v>899</v>
      </c>
      <c r="B54" s="237"/>
      <c r="C54" s="354"/>
      <c r="D54" s="354"/>
      <c r="E54" s="359"/>
      <c r="F54" s="360"/>
      <c r="G54" s="354"/>
      <c r="H54" s="361"/>
      <c r="I54" s="362"/>
      <c r="J54" s="354"/>
      <c r="K54" s="361"/>
      <c r="L54" s="358"/>
    </row>
    <row r="55" spans="1:12" ht="13.15" customHeight="1" x14ac:dyDescent="0.25">
      <c r="A55" s="238" t="s">
        <v>900</v>
      </c>
      <c r="B55" s="237"/>
      <c r="C55" s="354"/>
      <c r="D55" s="354"/>
      <c r="E55" s="359"/>
      <c r="F55" s="360"/>
      <c r="G55" s="354"/>
      <c r="H55" s="361"/>
      <c r="I55" s="362"/>
      <c r="J55" s="354"/>
      <c r="K55" s="361"/>
      <c r="L55" s="358"/>
    </row>
    <row r="56" spans="1:12" ht="13.15" customHeight="1" x14ac:dyDescent="0.25">
      <c r="A56" s="238" t="s">
        <v>863</v>
      </c>
      <c r="B56" s="237"/>
      <c r="C56" s="354"/>
      <c r="D56" s="354"/>
      <c r="E56" s="359"/>
      <c r="F56" s="360"/>
      <c r="G56" s="354"/>
      <c r="H56" s="361"/>
      <c r="I56" s="362"/>
      <c r="J56" s="354"/>
      <c r="K56" s="361"/>
      <c r="L56" s="358"/>
    </row>
    <row r="57" spans="1:12" ht="13.15" customHeight="1" x14ac:dyDescent="0.25">
      <c r="A57" s="238" t="s">
        <v>864</v>
      </c>
      <c r="B57" s="237"/>
      <c r="C57" s="354"/>
      <c r="D57" s="354"/>
      <c r="E57" s="359"/>
      <c r="F57" s="360"/>
      <c r="G57" s="354"/>
      <c r="H57" s="361"/>
      <c r="I57" s="362"/>
      <c r="J57" s="354"/>
      <c r="K57" s="361"/>
      <c r="L57" s="358"/>
    </row>
    <row r="58" spans="1:12" ht="13.15" customHeight="1" x14ac:dyDescent="0.25">
      <c r="A58" s="238" t="s">
        <v>865</v>
      </c>
      <c r="B58" s="237"/>
      <c r="C58" s="354"/>
      <c r="D58" s="354"/>
      <c r="E58" s="359"/>
      <c r="F58" s="360"/>
      <c r="G58" s="354"/>
      <c r="H58" s="361"/>
      <c r="I58" s="362"/>
      <c r="J58" s="354"/>
      <c r="K58" s="361"/>
    </row>
    <row r="59" spans="1:12" ht="13.15" customHeight="1" x14ac:dyDescent="0.25">
      <c r="A59" s="238" t="s">
        <v>871</v>
      </c>
      <c r="B59" s="237"/>
      <c r="C59" s="354"/>
      <c r="D59" s="354"/>
      <c r="E59" s="359"/>
      <c r="F59" s="360"/>
      <c r="G59" s="354"/>
      <c r="H59" s="361"/>
      <c r="I59" s="362"/>
      <c r="J59" s="354"/>
      <c r="K59" s="361"/>
      <c r="L59" s="358"/>
    </row>
    <row r="60" spans="1:12" ht="13.15" customHeight="1" x14ac:dyDescent="0.25">
      <c r="A60" s="238" t="s">
        <v>874</v>
      </c>
      <c r="B60" s="237"/>
      <c r="C60" s="354"/>
      <c r="D60" s="354"/>
      <c r="E60" s="359"/>
      <c r="F60" s="360"/>
      <c r="G60" s="354"/>
      <c r="H60" s="361"/>
      <c r="I60" s="362"/>
      <c r="J60" s="354"/>
      <c r="K60" s="361"/>
      <c r="L60" s="358"/>
    </row>
    <row r="61" spans="1:12" ht="13.15" customHeight="1" x14ac:dyDescent="0.25">
      <c r="A61" s="238" t="s">
        <v>861</v>
      </c>
      <c r="B61" s="237"/>
      <c r="C61" s="354"/>
      <c r="D61" s="354"/>
      <c r="E61" s="359"/>
      <c r="F61" s="360"/>
      <c r="G61" s="354"/>
      <c r="H61" s="361"/>
      <c r="I61" s="362"/>
      <c r="J61" s="354"/>
      <c r="K61" s="361"/>
      <c r="L61" s="358"/>
    </row>
    <row r="62" spans="1:12" ht="13.15" customHeight="1" x14ac:dyDescent="0.25">
      <c r="A62" s="20" t="s">
        <v>901</v>
      </c>
      <c r="B62" s="237"/>
      <c r="C62" s="23">
        <f>SUM(C63:C67)</f>
        <v>0</v>
      </c>
      <c r="D62" s="23">
        <f t="shared" ref="D62:K62" si="8">SUM(D63:D67)</f>
        <v>0</v>
      </c>
      <c r="E62" s="50">
        <f t="shared" si="8"/>
        <v>0</v>
      </c>
      <c r="F62" s="24">
        <f t="shared" si="8"/>
        <v>0</v>
      </c>
      <c r="G62" s="23">
        <f t="shared" si="8"/>
        <v>0</v>
      </c>
      <c r="H62" s="83">
        <f t="shared" si="8"/>
        <v>0</v>
      </c>
      <c r="I62" s="319">
        <f t="shared" si="8"/>
        <v>0</v>
      </c>
      <c r="J62" s="23">
        <f t="shared" si="8"/>
        <v>0</v>
      </c>
      <c r="K62" s="83">
        <f t="shared" si="8"/>
        <v>0</v>
      </c>
      <c r="L62" s="358"/>
    </row>
    <row r="63" spans="1:12" ht="13.15" customHeight="1" x14ac:dyDescent="0.25">
      <c r="A63" s="238" t="s">
        <v>902</v>
      </c>
      <c r="B63" s="237"/>
      <c r="C63" s="354"/>
      <c r="D63" s="354"/>
      <c r="E63" s="359"/>
      <c r="F63" s="360"/>
      <c r="G63" s="354"/>
      <c r="H63" s="361"/>
      <c r="I63" s="362"/>
      <c r="J63" s="354"/>
      <c r="K63" s="361"/>
      <c r="L63" s="358"/>
    </row>
    <row r="64" spans="1:12" ht="13.15" customHeight="1" x14ac:dyDescent="0.25">
      <c r="A64" s="238" t="s">
        <v>903</v>
      </c>
      <c r="B64" s="237"/>
      <c r="C64" s="354"/>
      <c r="D64" s="354"/>
      <c r="E64" s="359"/>
      <c r="F64" s="360"/>
      <c r="G64" s="354"/>
      <c r="H64" s="361"/>
      <c r="I64" s="362"/>
      <c r="J64" s="354"/>
      <c r="K64" s="361"/>
    </row>
    <row r="65" spans="1:11" ht="13.15" customHeight="1" x14ac:dyDescent="0.25">
      <c r="A65" s="238" t="s">
        <v>904</v>
      </c>
      <c r="B65" s="237"/>
      <c r="C65" s="354"/>
      <c r="D65" s="354"/>
      <c r="E65" s="359"/>
      <c r="F65" s="360"/>
      <c r="G65" s="354"/>
      <c r="H65" s="361"/>
      <c r="I65" s="362"/>
      <c r="J65" s="354"/>
      <c r="K65" s="361"/>
    </row>
    <row r="66" spans="1:11" ht="13.15" customHeight="1" x14ac:dyDescent="0.25">
      <c r="A66" s="238" t="s">
        <v>905</v>
      </c>
      <c r="B66" s="237"/>
      <c r="C66" s="354"/>
      <c r="D66" s="354"/>
      <c r="E66" s="359"/>
      <c r="F66" s="360"/>
      <c r="G66" s="354"/>
      <c r="H66" s="361"/>
      <c r="I66" s="362"/>
      <c r="J66" s="354"/>
      <c r="K66" s="361"/>
    </row>
    <row r="67" spans="1:11" ht="13.15" customHeight="1" x14ac:dyDescent="0.25">
      <c r="A67" s="238" t="s">
        <v>861</v>
      </c>
      <c r="B67" s="237"/>
      <c r="C67" s="354"/>
      <c r="D67" s="354"/>
      <c r="E67" s="359"/>
      <c r="F67" s="360"/>
      <c r="G67" s="354"/>
      <c r="H67" s="361"/>
      <c r="I67" s="362"/>
      <c r="J67" s="354"/>
      <c r="K67" s="361"/>
    </row>
    <row r="68" spans="1:11" ht="13.15" customHeight="1" x14ac:dyDescent="0.25">
      <c r="A68" s="20" t="s">
        <v>906</v>
      </c>
      <c r="B68" s="237"/>
      <c r="C68" s="23">
        <f>SUM(C69:C72)</f>
        <v>0</v>
      </c>
      <c r="D68" s="23">
        <f t="shared" ref="D68:K68" si="9">SUM(D69:D72)</f>
        <v>0</v>
      </c>
      <c r="E68" s="23">
        <f t="shared" si="9"/>
        <v>0</v>
      </c>
      <c r="F68" s="24">
        <f t="shared" si="9"/>
        <v>0</v>
      </c>
      <c r="G68" s="23">
        <f t="shared" si="9"/>
        <v>0</v>
      </c>
      <c r="H68" s="83">
        <f t="shared" si="9"/>
        <v>0</v>
      </c>
      <c r="I68" s="319">
        <f t="shared" si="9"/>
        <v>0</v>
      </c>
      <c r="J68" s="23">
        <f t="shared" si="9"/>
        <v>0</v>
      </c>
      <c r="K68" s="83">
        <f t="shared" si="9"/>
        <v>0</v>
      </c>
    </row>
    <row r="69" spans="1:11" ht="13.15" customHeight="1" x14ac:dyDescent="0.25">
      <c r="A69" s="238" t="s">
        <v>907</v>
      </c>
      <c r="B69" s="237"/>
      <c r="C69" s="354"/>
      <c r="D69" s="354"/>
      <c r="E69" s="357"/>
      <c r="F69" s="356"/>
      <c r="G69" s="354"/>
      <c r="H69" s="357"/>
      <c r="I69" s="356"/>
      <c r="J69" s="354"/>
      <c r="K69" s="361"/>
    </row>
    <row r="70" spans="1:11" ht="13.15" customHeight="1" x14ac:dyDescent="0.25">
      <c r="A70" s="238" t="s">
        <v>908</v>
      </c>
      <c r="B70" s="237"/>
      <c r="C70" s="354"/>
      <c r="D70" s="354"/>
      <c r="E70" s="355"/>
      <c r="F70" s="356"/>
      <c r="G70" s="354"/>
      <c r="H70" s="357"/>
      <c r="I70" s="356"/>
      <c r="J70" s="354"/>
      <c r="K70" s="361"/>
    </row>
    <row r="71" spans="1:11" ht="13.15" customHeight="1" x14ac:dyDescent="0.25">
      <c r="A71" s="238" t="s">
        <v>909</v>
      </c>
      <c r="B71" s="237"/>
      <c r="C71" s="354"/>
      <c r="D71" s="354"/>
      <c r="E71" s="355"/>
      <c r="F71" s="356"/>
      <c r="G71" s="354"/>
      <c r="H71" s="357"/>
      <c r="I71" s="356"/>
      <c r="J71" s="354"/>
      <c r="K71" s="355"/>
    </row>
    <row r="72" spans="1:11" ht="13.15" customHeight="1" x14ac:dyDescent="0.25">
      <c r="A72" s="238" t="s">
        <v>861</v>
      </c>
      <c r="B72" s="237"/>
      <c r="C72" s="354"/>
      <c r="D72" s="354"/>
      <c r="E72" s="355"/>
      <c r="F72" s="356"/>
      <c r="G72" s="354"/>
      <c r="H72" s="357"/>
      <c r="I72" s="356"/>
      <c r="J72" s="354"/>
      <c r="K72" s="355"/>
    </row>
    <row r="73" spans="1:11" ht="5.0999999999999996" customHeight="1" x14ac:dyDescent="0.25">
      <c r="A73" s="21"/>
      <c r="B73" s="237"/>
      <c r="C73" s="23"/>
      <c r="D73" s="23"/>
      <c r="E73" s="240"/>
      <c r="F73" s="241"/>
      <c r="G73" s="23"/>
      <c r="H73" s="22"/>
      <c r="I73" s="241"/>
      <c r="J73" s="23"/>
      <c r="K73" s="240"/>
    </row>
    <row r="74" spans="1:11" ht="13.15" customHeight="1" x14ac:dyDescent="0.25">
      <c r="A74" s="19" t="s">
        <v>910</v>
      </c>
      <c r="B74" s="237"/>
      <c r="C74" s="26">
        <f>C75+C98</f>
        <v>0</v>
      </c>
      <c r="D74" s="26">
        <f t="shared" ref="D74:K74" si="10">D75+D98</f>
        <v>0</v>
      </c>
      <c r="E74" s="233">
        <f t="shared" si="10"/>
        <v>0</v>
      </c>
      <c r="F74" s="232">
        <f t="shared" si="10"/>
        <v>0</v>
      </c>
      <c r="G74" s="26">
        <f t="shared" si="10"/>
        <v>0</v>
      </c>
      <c r="H74" s="25">
        <f t="shared" si="10"/>
        <v>0</v>
      </c>
      <c r="I74" s="232">
        <f t="shared" si="10"/>
        <v>0</v>
      </c>
      <c r="J74" s="26">
        <f t="shared" si="10"/>
        <v>0</v>
      </c>
      <c r="K74" s="233">
        <f t="shared" si="10"/>
        <v>0</v>
      </c>
    </row>
    <row r="75" spans="1:11" ht="13.15" customHeight="1" x14ac:dyDescent="0.25">
      <c r="A75" s="20" t="s">
        <v>911</v>
      </c>
      <c r="B75" s="237"/>
      <c r="C75" s="48">
        <f>SUM(C76:C97)</f>
        <v>0</v>
      </c>
      <c r="D75" s="48">
        <f t="shared" ref="D75:K75" si="11">SUM(D76:D97)</f>
        <v>0</v>
      </c>
      <c r="E75" s="317">
        <f t="shared" si="11"/>
        <v>0</v>
      </c>
      <c r="F75" s="49">
        <f t="shared" si="11"/>
        <v>0</v>
      </c>
      <c r="G75" s="48">
        <f t="shared" si="11"/>
        <v>0</v>
      </c>
      <c r="H75" s="100">
        <f t="shared" si="11"/>
        <v>0</v>
      </c>
      <c r="I75" s="49">
        <f t="shared" si="11"/>
        <v>0</v>
      </c>
      <c r="J75" s="48">
        <f t="shared" si="11"/>
        <v>0</v>
      </c>
      <c r="K75" s="100">
        <f t="shared" si="11"/>
        <v>0</v>
      </c>
    </row>
    <row r="76" spans="1:11" ht="13.15" customHeight="1" x14ac:dyDescent="0.25">
      <c r="A76" s="238" t="s">
        <v>912</v>
      </c>
      <c r="B76" s="237"/>
      <c r="C76" s="354"/>
      <c r="D76" s="354"/>
      <c r="E76" s="355"/>
      <c r="F76" s="356"/>
      <c r="G76" s="354"/>
      <c r="H76" s="357"/>
      <c r="I76" s="356"/>
      <c r="J76" s="354"/>
      <c r="K76" s="355"/>
    </row>
    <row r="77" spans="1:11" ht="13.15" customHeight="1" x14ac:dyDescent="0.25">
      <c r="A77" s="238" t="s">
        <v>913</v>
      </c>
      <c r="B77" s="237"/>
      <c r="C77" s="354"/>
      <c r="D77" s="354"/>
      <c r="E77" s="355"/>
      <c r="F77" s="356"/>
      <c r="G77" s="354"/>
      <c r="H77" s="357"/>
      <c r="I77" s="356"/>
      <c r="J77" s="354"/>
      <c r="K77" s="355"/>
    </row>
    <row r="78" spans="1:11" ht="13.15" customHeight="1" x14ac:dyDescent="0.25">
      <c r="A78" s="238" t="s">
        <v>914</v>
      </c>
      <c r="B78" s="237"/>
      <c r="C78" s="354"/>
      <c r="D78" s="354"/>
      <c r="E78" s="355"/>
      <c r="F78" s="356"/>
      <c r="G78" s="354"/>
      <c r="H78" s="357"/>
      <c r="I78" s="356"/>
      <c r="J78" s="354"/>
      <c r="K78" s="355"/>
    </row>
    <row r="79" spans="1:11" ht="13.15" customHeight="1" x14ac:dyDescent="0.25">
      <c r="A79" s="238" t="s">
        <v>915</v>
      </c>
      <c r="B79" s="237"/>
      <c r="C79" s="354"/>
      <c r="D79" s="354"/>
      <c r="E79" s="355"/>
      <c r="F79" s="356"/>
      <c r="G79" s="354"/>
      <c r="H79" s="357"/>
      <c r="I79" s="356"/>
      <c r="J79" s="354"/>
      <c r="K79" s="355"/>
    </row>
    <row r="80" spans="1:11" ht="13.15" customHeight="1" x14ac:dyDescent="0.25">
      <c r="A80" s="238" t="s">
        <v>916</v>
      </c>
      <c r="B80" s="237"/>
      <c r="C80" s="354"/>
      <c r="D80" s="354"/>
      <c r="E80" s="355"/>
      <c r="F80" s="356"/>
      <c r="G80" s="354"/>
      <c r="H80" s="357"/>
      <c r="I80" s="356"/>
      <c r="J80" s="354"/>
      <c r="K80" s="355"/>
    </row>
    <row r="81" spans="1:12" ht="13.15" customHeight="1" x14ac:dyDescent="0.25">
      <c r="A81" s="238" t="s">
        <v>917</v>
      </c>
      <c r="B81" s="237"/>
      <c r="C81" s="354"/>
      <c r="D81" s="354"/>
      <c r="E81" s="355"/>
      <c r="F81" s="356"/>
      <c r="G81" s="354"/>
      <c r="H81" s="357"/>
      <c r="I81" s="356"/>
      <c r="J81" s="354"/>
      <c r="K81" s="355"/>
    </row>
    <row r="82" spans="1:12" ht="13.15" customHeight="1" x14ac:dyDescent="0.25">
      <c r="A82" s="238" t="s">
        <v>918</v>
      </c>
      <c r="B82" s="237"/>
      <c r="C82" s="354"/>
      <c r="D82" s="354"/>
      <c r="E82" s="355"/>
      <c r="F82" s="356"/>
      <c r="G82" s="354"/>
      <c r="H82" s="357"/>
      <c r="I82" s="356"/>
      <c r="J82" s="354"/>
      <c r="K82" s="355"/>
    </row>
    <row r="83" spans="1:12" ht="13.15" customHeight="1" x14ac:dyDescent="0.25">
      <c r="A83" s="238" t="s">
        <v>919</v>
      </c>
      <c r="B83" s="237"/>
      <c r="C83" s="354"/>
      <c r="D83" s="354"/>
      <c r="E83" s="355"/>
      <c r="F83" s="356"/>
      <c r="G83" s="354"/>
      <c r="H83" s="357"/>
      <c r="I83" s="356"/>
      <c r="J83" s="354"/>
      <c r="K83" s="355"/>
    </row>
    <row r="84" spans="1:12" s="297" customFormat="1" ht="13.15" customHeight="1" x14ac:dyDescent="0.25">
      <c r="A84" s="238" t="s">
        <v>920</v>
      </c>
      <c r="B84" s="237"/>
      <c r="C84" s="354"/>
      <c r="D84" s="354"/>
      <c r="E84" s="355"/>
      <c r="F84" s="356"/>
      <c r="G84" s="354"/>
      <c r="H84" s="357"/>
      <c r="I84" s="356"/>
      <c r="J84" s="354"/>
      <c r="K84" s="355"/>
      <c r="L84" s="363"/>
    </row>
    <row r="85" spans="1:12" s="297" customFormat="1" ht="13.15" customHeight="1" x14ac:dyDescent="0.25">
      <c r="A85" s="238" t="s">
        <v>90</v>
      </c>
      <c r="B85" s="237"/>
      <c r="C85" s="354"/>
      <c r="D85" s="354"/>
      <c r="E85" s="355"/>
      <c r="F85" s="356"/>
      <c r="G85" s="354"/>
      <c r="H85" s="357"/>
      <c r="I85" s="356"/>
      <c r="J85" s="354"/>
      <c r="K85" s="355"/>
    </row>
    <row r="86" spans="1:12" s="297" customFormat="1" ht="13.15" customHeight="1" x14ac:dyDescent="0.25">
      <c r="A86" s="238" t="s">
        <v>921</v>
      </c>
      <c r="B86" s="237"/>
      <c r="C86" s="354"/>
      <c r="D86" s="354"/>
      <c r="E86" s="355"/>
      <c r="F86" s="356"/>
      <c r="G86" s="354"/>
      <c r="H86" s="357"/>
      <c r="I86" s="356"/>
      <c r="J86" s="354"/>
      <c r="K86" s="355"/>
    </row>
    <row r="87" spans="1:12" ht="13.15" customHeight="1" x14ac:dyDescent="0.25">
      <c r="A87" s="238" t="s">
        <v>922</v>
      </c>
      <c r="B87" s="237"/>
      <c r="C87" s="354"/>
      <c r="D87" s="354"/>
      <c r="E87" s="355"/>
      <c r="F87" s="356"/>
      <c r="G87" s="354"/>
      <c r="H87" s="357"/>
      <c r="I87" s="356"/>
      <c r="J87" s="354"/>
      <c r="K87" s="355"/>
    </row>
    <row r="88" spans="1:12" ht="13.15" customHeight="1" x14ac:dyDescent="0.25">
      <c r="A88" s="238" t="s">
        <v>1025</v>
      </c>
      <c r="B88" s="237"/>
      <c r="C88" s="354"/>
      <c r="D88" s="354"/>
      <c r="E88" s="355"/>
      <c r="F88" s="356"/>
      <c r="G88" s="354"/>
      <c r="H88" s="357"/>
      <c r="I88" s="356"/>
      <c r="J88" s="354"/>
      <c r="K88" s="355"/>
    </row>
    <row r="89" spans="1:12" ht="13.15" customHeight="1" x14ac:dyDescent="0.25">
      <c r="A89" s="238" t="s">
        <v>923</v>
      </c>
      <c r="B89" s="237"/>
      <c r="C89" s="354"/>
      <c r="D89" s="354"/>
      <c r="E89" s="355"/>
      <c r="F89" s="356"/>
      <c r="G89" s="354"/>
      <c r="H89" s="357"/>
      <c r="I89" s="356"/>
      <c r="J89" s="354"/>
      <c r="K89" s="355"/>
    </row>
    <row r="90" spans="1:12" ht="13.15" customHeight="1" x14ac:dyDescent="0.25">
      <c r="A90" s="238" t="s">
        <v>924</v>
      </c>
      <c r="B90" s="237"/>
      <c r="C90" s="354"/>
      <c r="D90" s="354"/>
      <c r="E90" s="355"/>
      <c r="F90" s="356"/>
      <c r="G90" s="354"/>
      <c r="H90" s="357"/>
      <c r="I90" s="356"/>
      <c r="J90" s="354"/>
      <c r="K90" s="355"/>
    </row>
    <row r="91" spans="1:12" ht="13.15" customHeight="1" x14ac:dyDescent="0.25">
      <c r="A91" s="238" t="s">
        <v>925</v>
      </c>
      <c r="B91" s="237"/>
      <c r="C91" s="354"/>
      <c r="D91" s="354"/>
      <c r="E91" s="355"/>
      <c r="F91" s="356"/>
      <c r="G91" s="354"/>
      <c r="H91" s="357"/>
      <c r="I91" s="356"/>
      <c r="J91" s="354"/>
      <c r="K91" s="355"/>
    </row>
    <row r="92" spans="1:12" ht="13.15" customHeight="1" x14ac:dyDescent="0.25">
      <c r="A92" s="238" t="s">
        <v>11</v>
      </c>
      <c r="B92" s="237"/>
      <c r="C92" s="354"/>
      <c r="D92" s="354"/>
      <c r="E92" s="355"/>
      <c r="F92" s="356"/>
      <c r="G92" s="354"/>
      <c r="H92" s="357"/>
      <c r="I92" s="356"/>
      <c r="J92" s="354"/>
      <c r="K92" s="355"/>
    </row>
    <row r="93" spans="1:12" ht="13.15" customHeight="1" x14ac:dyDescent="0.25">
      <c r="A93" s="238" t="s">
        <v>926</v>
      </c>
      <c r="B93" s="237"/>
      <c r="C93" s="354"/>
      <c r="D93" s="354"/>
      <c r="E93" s="355"/>
      <c r="F93" s="356"/>
      <c r="G93" s="354"/>
      <c r="H93" s="357"/>
      <c r="I93" s="356"/>
      <c r="J93" s="354"/>
      <c r="K93" s="355"/>
    </row>
    <row r="94" spans="1:12" ht="13.15" customHeight="1" x14ac:dyDescent="0.25">
      <c r="A94" s="238" t="s">
        <v>10</v>
      </c>
      <c r="B94" s="237"/>
      <c r="C94" s="354"/>
      <c r="D94" s="354"/>
      <c r="E94" s="355"/>
      <c r="F94" s="356"/>
      <c r="G94" s="354"/>
      <c r="H94" s="357"/>
      <c r="I94" s="356"/>
      <c r="J94" s="354"/>
      <c r="K94" s="355"/>
    </row>
    <row r="95" spans="1:12" ht="13.15" customHeight="1" x14ac:dyDescent="0.25">
      <c r="A95" s="238" t="s">
        <v>927</v>
      </c>
      <c r="B95" s="237"/>
      <c r="C95" s="354"/>
      <c r="D95" s="354"/>
      <c r="E95" s="355"/>
      <c r="F95" s="356"/>
      <c r="G95" s="354"/>
      <c r="H95" s="357"/>
      <c r="I95" s="356"/>
      <c r="J95" s="354"/>
      <c r="K95" s="355"/>
    </row>
    <row r="96" spans="1:12" ht="13.15" customHeight="1" x14ac:dyDescent="0.25">
      <c r="A96" s="238" t="s">
        <v>928</v>
      </c>
      <c r="B96" s="237"/>
      <c r="C96" s="354"/>
      <c r="D96" s="354"/>
      <c r="E96" s="355"/>
      <c r="F96" s="356"/>
      <c r="G96" s="354"/>
      <c r="H96" s="357"/>
      <c r="I96" s="356"/>
      <c r="J96" s="354"/>
      <c r="K96" s="355"/>
    </row>
    <row r="97" spans="1:11" ht="13.15" customHeight="1" x14ac:dyDescent="0.25">
      <c r="A97" s="238" t="s">
        <v>861</v>
      </c>
      <c r="B97" s="237"/>
      <c r="C97" s="354"/>
      <c r="D97" s="354"/>
      <c r="E97" s="355"/>
      <c r="F97" s="356"/>
      <c r="G97" s="354"/>
      <c r="H97" s="357"/>
      <c r="I97" s="356"/>
      <c r="J97" s="354"/>
      <c r="K97" s="355"/>
    </row>
    <row r="98" spans="1:11" ht="13.15" customHeight="1" x14ac:dyDescent="0.25">
      <c r="A98" s="20" t="s">
        <v>929</v>
      </c>
      <c r="B98" s="237"/>
      <c r="C98" s="23">
        <f>SUM(C99:C101)</f>
        <v>0</v>
      </c>
      <c r="D98" s="23">
        <f t="shared" ref="D98:K98" si="12">SUM(D99:D101)</f>
        <v>0</v>
      </c>
      <c r="E98" s="23">
        <f t="shared" si="12"/>
        <v>0</v>
      </c>
      <c r="F98" s="24">
        <f t="shared" si="12"/>
        <v>0</v>
      </c>
      <c r="G98" s="23">
        <f t="shared" si="12"/>
        <v>0</v>
      </c>
      <c r="H98" s="83">
        <f t="shared" si="12"/>
        <v>0</v>
      </c>
      <c r="I98" s="319">
        <f t="shared" si="12"/>
        <v>0</v>
      </c>
      <c r="J98" s="23">
        <f t="shared" si="12"/>
        <v>0</v>
      </c>
      <c r="K98" s="83">
        <f t="shared" si="12"/>
        <v>0</v>
      </c>
    </row>
    <row r="99" spans="1:11" ht="13.15" customHeight="1" x14ac:dyDescent="0.25">
      <c r="A99" s="238" t="s">
        <v>930</v>
      </c>
      <c r="B99" s="237"/>
      <c r="C99" s="354"/>
      <c r="D99" s="354"/>
      <c r="E99" s="357"/>
      <c r="F99" s="356"/>
      <c r="G99" s="354"/>
      <c r="H99" s="357"/>
      <c r="I99" s="356"/>
      <c r="J99" s="354"/>
      <c r="K99" s="361"/>
    </row>
    <row r="100" spans="1:11" ht="13.15" customHeight="1" x14ac:dyDescent="0.25">
      <c r="A100" s="238" t="s">
        <v>931</v>
      </c>
      <c r="B100" s="237"/>
      <c r="C100" s="354"/>
      <c r="D100" s="354"/>
      <c r="E100" s="355"/>
      <c r="F100" s="356"/>
      <c r="G100" s="354"/>
      <c r="H100" s="357"/>
      <c r="I100" s="356"/>
      <c r="J100" s="354"/>
      <c r="K100" s="361"/>
    </row>
    <row r="101" spans="1:11" ht="13.15" customHeight="1" x14ac:dyDescent="0.25">
      <c r="A101" s="238" t="s">
        <v>861</v>
      </c>
      <c r="B101" s="237"/>
      <c r="C101" s="354"/>
      <c r="D101" s="354"/>
      <c r="E101" s="355"/>
      <c r="F101" s="356"/>
      <c r="G101" s="354"/>
      <c r="H101" s="357"/>
      <c r="I101" s="356"/>
      <c r="J101" s="354"/>
      <c r="K101" s="355"/>
    </row>
    <row r="102" spans="1:11" ht="5.0999999999999996" customHeight="1" x14ac:dyDescent="0.25">
      <c r="A102" s="21"/>
      <c r="B102" s="237"/>
      <c r="C102" s="23"/>
      <c r="D102" s="23"/>
      <c r="E102" s="240"/>
      <c r="F102" s="241"/>
      <c r="G102" s="23"/>
      <c r="H102" s="22"/>
      <c r="I102" s="241"/>
      <c r="J102" s="23"/>
      <c r="K102" s="240"/>
    </row>
    <row r="103" spans="1:11" ht="13.15" customHeight="1" x14ac:dyDescent="0.25">
      <c r="A103" s="19" t="s">
        <v>187</v>
      </c>
      <c r="B103" s="237"/>
      <c r="C103" s="23">
        <f>SUM(C104:C108)</f>
        <v>0</v>
      </c>
      <c r="D103" s="23">
        <f t="shared" ref="D103:K103" si="13">SUM(D104:D108)</f>
        <v>0</v>
      </c>
      <c r="E103" s="240">
        <f t="shared" si="13"/>
        <v>0</v>
      </c>
      <c r="F103" s="241">
        <f t="shared" si="13"/>
        <v>0</v>
      </c>
      <c r="G103" s="23">
        <f t="shared" si="13"/>
        <v>0</v>
      </c>
      <c r="H103" s="22">
        <f t="shared" si="13"/>
        <v>0</v>
      </c>
      <c r="I103" s="241">
        <f t="shared" si="13"/>
        <v>0</v>
      </c>
      <c r="J103" s="23">
        <f t="shared" si="13"/>
        <v>0</v>
      </c>
      <c r="K103" s="240">
        <f t="shared" si="13"/>
        <v>0</v>
      </c>
    </row>
    <row r="104" spans="1:11" ht="13.15" customHeight="1" x14ac:dyDescent="0.25">
      <c r="A104" s="20" t="s">
        <v>932</v>
      </c>
      <c r="B104" s="237"/>
      <c r="C104" s="364"/>
      <c r="D104" s="364"/>
      <c r="E104" s="365"/>
      <c r="F104" s="366"/>
      <c r="G104" s="364"/>
      <c r="H104" s="367"/>
      <c r="I104" s="366"/>
      <c r="J104" s="364"/>
      <c r="K104" s="365"/>
    </row>
    <row r="105" spans="1:11" ht="13.15" customHeight="1" x14ac:dyDescent="0.25">
      <c r="A105" s="20" t="s">
        <v>933</v>
      </c>
      <c r="B105" s="237"/>
      <c r="C105" s="368"/>
      <c r="D105" s="368"/>
      <c r="E105" s="369"/>
      <c r="F105" s="370"/>
      <c r="G105" s="368"/>
      <c r="H105" s="371"/>
      <c r="I105" s="370"/>
      <c r="J105" s="368"/>
      <c r="K105" s="369"/>
    </row>
    <row r="106" spans="1:11" ht="13.15" customHeight="1" x14ac:dyDescent="0.25">
      <c r="A106" s="20" t="s">
        <v>934</v>
      </c>
      <c r="B106" s="237"/>
      <c r="C106" s="368"/>
      <c r="D106" s="368"/>
      <c r="E106" s="369"/>
      <c r="F106" s="370"/>
      <c r="G106" s="368"/>
      <c r="H106" s="371"/>
      <c r="I106" s="370"/>
      <c r="J106" s="368"/>
      <c r="K106" s="369"/>
    </row>
    <row r="107" spans="1:11" ht="13.15" customHeight="1" x14ac:dyDescent="0.25">
      <c r="A107" s="20" t="s">
        <v>935</v>
      </c>
      <c r="B107" s="237"/>
      <c r="C107" s="368"/>
      <c r="D107" s="368"/>
      <c r="E107" s="369"/>
      <c r="F107" s="370"/>
      <c r="G107" s="368"/>
      <c r="H107" s="371"/>
      <c r="I107" s="370"/>
      <c r="J107" s="368"/>
      <c r="K107" s="369"/>
    </row>
    <row r="108" spans="1:11" ht="13.15" customHeight="1" x14ac:dyDescent="0.25">
      <c r="A108" s="20" t="s">
        <v>936</v>
      </c>
      <c r="B108" s="237"/>
      <c r="C108" s="368"/>
      <c r="D108" s="368"/>
      <c r="E108" s="369"/>
      <c r="F108" s="370"/>
      <c r="G108" s="368"/>
      <c r="H108" s="371"/>
      <c r="I108" s="370"/>
      <c r="J108" s="368"/>
      <c r="K108" s="369"/>
    </row>
    <row r="109" spans="1:11" ht="5.0999999999999996" customHeight="1" x14ac:dyDescent="0.25">
      <c r="A109" s="21"/>
      <c r="B109" s="237"/>
      <c r="C109" s="23"/>
      <c r="D109" s="23"/>
      <c r="E109" s="240"/>
      <c r="F109" s="241"/>
      <c r="G109" s="23"/>
      <c r="H109" s="22"/>
      <c r="I109" s="241"/>
      <c r="J109" s="23"/>
      <c r="K109" s="240"/>
    </row>
    <row r="110" spans="1:11" ht="13.15" customHeight="1" x14ac:dyDescent="0.25">
      <c r="A110" s="19" t="s">
        <v>188</v>
      </c>
      <c r="B110" s="237"/>
      <c r="C110" s="26">
        <f>+C111+C114</f>
        <v>0</v>
      </c>
      <c r="D110" s="26">
        <f t="shared" ref="D110:K110" si="14">+D111+D114</f>
        <v>0</v>
      </c>
      <c r="E110" s="233">
        <f t="shared" si="14"/>
        <v>0</v>
      </c>
      <c r="F110" s="232">
        <f t="shared" si="14"/>
        <v>0</v>
      </c>
      <c r="G110" s="26">
        <f t="shared" si="14"/>
        <v>0</v>
      </c>
      <c r="H110" s="25">
        <f t="shared" si="14"/>
        <v>0</v>
      </c>
      <c r="I110" s="232">
        <f t="shared" si="14"/>
        <v>0</v>
      </c>
      <c r="J110" s="26">
        <f t="shared" si="14"/>
        <v>0</v>
      </c>
      <c r="K110" s="233">
        <f t="shared" si="14"/>
        <v>0</v>
      </c>
    </row>
    <row r="111" spans="1:11" ht="13.15" customHeight="1" x14ac:dyDescent="0.25">
      <c r="A111" s="20" t="s">
        <v>937</v>
      </c>
      <c r="B111" s="237"/>
      <c r="C111" s="48">
        <f t="shared" ref="C111:K111" si="15">SUM(C112:C113)</f>
        <v>0</v>
      </c>
      <c r="D111" s="48">
        <f t="shared" si="15"/>
        <v>0</v>
      </c>
      <c r="E111" s="48">
        <f t="shared" si="15"/>
        <v>0</v>
      </c>
      <c r="F111" s="49">
        <f t="shared" si="15"/>
        <v>0</v>
      </c>
      <c r="G111" s="48">
        <f t="shared" si="15"/>
        <v>0</v>
      </c>
      <c r="H111" s="100">
        <f t="shared" si="15"/>
        <v>0</v>
      </c>
      <c r="I111" s="318">
        <f t="shared" si="15"/>
        <v>0</v>
      </c>
      <c r="J111" s="48">
        <f t="shared" si="15"/>
        <v>0</v>
      </c>
      <c r="K111" s="100">
        <f t="shared" si="15"/>
        <v>0</v>
      </c>
    </row>
    <row r="112" spans="1:11" ht="13.15" customHeight="1" x14ac:dyDescent="0.25">
      <c r="A112" s="238" t="s">
        <v>938</v>
      </c>
      <c r="B112" s="237"/>
      <c r="C112" s="354"/>
      <c r="D112" s="354"/>
      <c r="E112" s="357"/>
      <c r="F112" s="356"/>
      <c r="G112" s="354"/>
      <c r="H112" s="357"/>
      <c r="I112" s="356"/>
      <c r="J112" s="354"/>
      <c r="K112" s="361"/>
    </row>
    <row r="113" spans="1:11" ht="13.15" customHeight="1" x14ac:dyDescent="0.25">
      <c r="A113" s="238" t="s">
        <v>939</v>
      </c>
      <c r="B113" s="237"/>
      <c r="C113" s="354"/>
      <c r="D113" s="354"/>
      <c r="E113" s="355"/>
      <c r="F113" s="356"/>
      <c r="G113" s="354"/>
      <c r="H113" s="357"/>
      <c r="I113" s="356"/>
      <c r="J113" s="354"/>
      <c r="K113" s="361"/>
    </row>
    <row r="114" spans="1:11" ht="13.15" customHeight="1" x14ac:dyDescent="0.25">
      <c r="A114" s="20" t="s">
        <v>940</v>
      </c>
      <c r="B114" s="237"/>
      <c r="C114" s="23">
        <f>SUM(C115:C116)</f>
        <v>0</v>
      </c>
      <c r="D114" s="23">
        <f t="shared" ref="D114:K114" si="16">SUM(D115:D116)</f>
        <v>0</v>
      </c>
      <c r="E114" s="23">
        <f t="shared" si="16"/>
        <v>0</v>
      </c>
      <c r="F114" s="24">
        <f t="shared" si="16"/>
        <v>0</v>
      </c>
      <c r="G114" s="23">
        <f t="shared" si="16"/>
        <v>0</v>
      </c>
      <c r="H114" s="83">
        <f t="shared" si="16"/>
        <v>0</v>
      </c>
      <c r="I114" s="319">
        <f t="shared" si="16"/>
        <v>0</v>
      </c>
      <c r="J114" s="23">
        <f t="shared" si="16"/>
        <v>0</v>
      </c>
      <c r="K114" s="83">
        <f t="shared" si="16"/>
        <v>0</v>
      </c>
    </row>
    <row r="115" spans="1:11" ht="13.15" customHeight="1" x14ac:dyDescent="0.25">
      <c r="A115" s="238" t="s">
        <v>938</v>
      </c>
      <c r="B115" s="237"/>
      <c r="C115" s="354"/>
      <c r="D115" s="354"/>
      <c r="E115" s="357"/>
      <c r="F115" s="356"/>
      <c r="G115" s="354"/>
      <c r="H115" s="357"/>
      <c r="I115" s="356"/>
      <c r="J115" s="354"/>
      <c r="K115" s="361"/>
    </row>
    <row r="116" spans="1:11" ht="13.15" customHeight="1" x14ac:dyDescent="0.25">
      <c r="A116" s="238" t="s">
        <v>939</v>
      </c>
      <c r="B116" s="237"/>
      <c r="C116" s="354"/>
      <c r="D116" s="354"/>
      <c r="E116" s="355"/>
      <c r="F116" s="356"/>
      <c r="G116" s="354"/>
      <c r="H116" s="357"/>
      <c r="I116" s="356"/>
      <c r="J116" s="354"/>
      <c r="K116" s="361"/>
    </row>
    <row r="117" spans="1:11" ht="5.0999999999999996" customHeight="1" x14ac:dyDescent="0.25">
      <c r="A117" s="21"/>
      <c r="B117" s="237"/>
      <c r="C117" s="23"/>
      <c r="D117" s="23"/>
      <c r="E117" s="240"/>
      <c r="F117" s="241"/>
      <c r="G117" s="23"/>
      <c r="H117" s="22"/>
      <c r="I117" s="241"/>
      <c r="J117" s="23"/>
      <c r="K117" s="240"/>
    </row>
    <row r="118" spans="1:11" ht="13.15" customHeight="1" x14ac:dyDescent="0.25">
      <c r="A118" s="19" t="s">
        <v>189</v>
      </c>
      <c r="B118" s="237"/>
      <c r="C118" s="26">
        <f>+C119+C131</f>
        <v>170414</v>
      </c>
      <c r="D118" s="26">
        <f t="shared" ref="D118:K118" si="17">+D119+D131</f>
        <v>125772</v>
      </c>
      <c r="E118" s="233">
        <f t="shared" si="17"/>
        <v>48405</v>
      </c>
      <c r="F118" s="232">
        <f t="shared" si="17"/>
        <v>70000</v>
      </c>
      <c r="G118" s="26">
        <f t="shared" si="17"/>
        <v>55000</v>
      </c>
      <c r="H118" s="25">
        <f t="shared" si="17"/>
        <v>55000</v>
      </c>
      <c r="I118" s="232">
        <f t="shared" si="17"/>
        <v>100000</v>
      </c>
      <c r="J118" s="26">
        <f t="shared" si="17"/>
        <v>105000</v>
      </c>
      <c r="K118" s="233">
        <f t="shared" si="17"/>
        <v>110250</v>
      </c>
    </row>
    <row r="119" spans="1:11" ht="13.15" customHeight="1" x14ac:dyDescent="0.25">
      <c r="A119" s="20" t="s">
        <v>941</v>
      </c>
      <c r="B119" s="237"/>
      <c r="C119" s="48">
        <f>SUM(C120:C130)</f>
        <v>170414</v>
      </c>
      <c r="D119" s="48">
        <f t="shared" ref="D119:K119" si="18">SUM(D120:D130)</f>
        <v>125772</v>
      </c>
      <c r="E119" s="48">
        <f t="shared" si="18"/>
        <v>48405</v>
      </c>
      <c r="F119" s="49">
        <f t="shared" si="18"/>
        <v>70000</v>
      </c>
      <c r="G119" s="48">
        <f t="shared" si="18"/>
        <v>55000</v>
      </c>
      <c r="H119" s="100">
        <f t="shared" si="18"/>
        <v>55000</v>
      </c>
      <c r="I119" s="318">
        <f t="shared" si="18"/>
        <v>100000</v>
      </c>
      <c r="J119" s="48">
        <f t="shared" si="18"/>
        <v>105000</v>
      </c>
      <c r="K119" s="100">
        <f t="shared" si="18"/>
        <v>110250</v>
      </c>
    </row>
    <row r="120" spans="1:11" ht="13.15" customHeight="1" x14ac:dyDescent="0.25">
      <c r="A120" s="238" t="s">
        <v>942</v>
      </c>
      <c r="B120" s="237"/>
      <c r="C120" s="354">
        <v>170414</v>
      </c>
      <c r="D120" s="354">
        <v>125772</v>
      </c>
      <c r="E120" s="357">
        <v>48405</v>
      </c>
      <c r="F120" s="356">
        <v>70000</v>
      </c>
      <c r="G120" s="354">
        <v>55000</v>
      </c>
      <c r="H120" s="357">
        <f>G120</f>
        <v>55000</v>
      </c>
      <c r="I120" s="356">
        <v>100000</v>
      </c>
      <c r="J120" s="354">
        <f>I120*1.05</f>
        <v>105000</v>
      </c>
      <c r="K120" s="354">
        <f>J120*1.05</f>
        <v>110250</v>
      </c>
    </row>
    <row r="121" spans="1:11" ht="13.15" customHeight="1" x14ac:dyDescent="0.25">
      <c r="A121" s="238" t="s">
        <v>943</v>
      </c>
      <c r="B121" s="237"/>
      <c r="C121" s="354"/>
      <c r="D121" s="354"/>
      <c r="E121" s="357"/>
      <c r="F121" s="356"/>
      <c r="G121" s="354"/>
      <c r="H121" s="357"/>
      <c r="I121" s="356"/>
      <c r="J121" s="354"/>
      <c r="K121" s="361"/>
    </row>
    <row r="122" spans="1:11" ht="13.15" customHeight="1" x14ac:dyDescent="0.25">
      <c r="A122" s="238" t="s">
        <v>944</v>
      </c>
      <c r="B122" s="237"/>
      <c r="C122" s="354"/>
      <c r="D122" s="354"/>
      <c r="E122" s="357"/>
      <c r="F122" s="356"/>
      <c r="G122" s="354"/>
      <c r="H122" s="357"/>
      <c r="I122" s="356"/>
      <c r="J122" s="354"/>
      <c r="K122" s="361"/>
    </row>
    <row r="123" spans="1:11" ht="13.15" customHeight="1" x14ac:dyDescent="0.25">
      <c r="A123" s="238" t="s">
        <v>945</v>
      </c>
      <c r="B123" s="237"/>
      <c r="C123" s="354"/>
      <c r="D123" s="354"/>
      <c r="E123" s="357"/>
      <c r="F123" s="356"/>
      <c r="G123" s="354"/>
      <c r="H123" s="357"/>
      <c r="I123" s="356"/>
      <c r="J123" s="354"/>
      <c r="K123" s="361"/>
    </row>
    <row r="124" spans="1:11" ht="13.15" customHeight="1" x14ac:dyDescent="0.25">
      <c r="A124" s="238" t="s">
        <v>946</v>
      </c>
      <c r="B124" s="237"/>
      <c r="C124" s="354"/>
      <c r="D124" s="354"/>
      <c r="E124" s="357"/>
      <c r="F124" s="356"/>
      <c r="G124" s="354"/>
      <c r="H124" s="357"/>
      <c r="I124" s="356"/>
      <c r="J124" s="354"/>
      <c r="K124" s="361"/>
    </row>
    <row r="125" spans="1:11" ht="13.15" customHeight="1" x14ac:dyDescent="0.25">
      <c r="A125" s="238" t="s">
        <v>947</v>
      </c>
      <c r="B125" s="237"/>
      <c r="C125" s="354"/>
      <c r="D125" s="354"/>
      <c r="E125" s="357"/>
      <c r="F125" s="356"/>
      <c r="G125" s="354"/>
      <c r="H125" s="357"/>
      <c r="I125" s="356"/>
      <c r="J125" s="354"/>
      <c r="K125" s="361"/>
    </row>
    <row r="126" spans="1:11" ht="13.15" customHeight="1" x14ac:dyDescent="0.25">
      <c r="A126" s="238" t="s">
        <v>948</v>
      </c>
      <c r="B126" s="237"/>
      <c r="C126" s="354"/>
      <c r="D126" s="354"/>
      <c r="E126" s="357"/>
      <c r="F126" s="356"/>
      <c r="G126" s="354"/>
      <c r="H126" s="357"/>
      <c r="I126" s="356"/>
      <c r="J126" s="354"/>
      <c r="K126" s="361"/>
    </row>
    <row r="127" spans="1:11" ht="13.15" customHeight="1" x14ac:dyDescent="0.25">
      <c r="A127" s="238" t="s">
        <v>949</v>
      </c>
      <c r="B127" s="237"/>
      <c r="C127" s="354"/>
      <c r="D127" s="354"/>
      <c r="E127" s="357"/>
      <c r="F127" s="356"/>
      <c r="G127" s="354"/>
      <c r="H127" s="357"/>
      <c r="I127" s="356"/>
      <c r="J127" s="354"/>
      <c r="K127" s="361"/>
    </row>
    <row r="128" spans="1:11" ht="13.15" customHeight="1" x14ac:dyDescent="0.25">
      <c r="A128" s="238" t="s">
        <v>950</v>
      </c>
      <c r="B128" s="237"/>
      <c r="C128" s="354"/>
      <c r="D128" s="354"/>
      <c r="E128" s="357"/>
      <c r="F128" s="356"/>
      <c r="G128" s="354"/>
      <c r="H128" s="357"/>
      <c r="I128" s="356"/>
      <c r="J128" s="354"/>
      <c r="K128" s="361"/>
    </row>
    <row r="129" spans="1:11" ht="13.15" customHeight="1" x14ac:dyDescent="0.25">
      <c r="A129" s="238" t="s">
        <v>951</v>
      </c>
      <c r="B129" s="237"/>
      <c r="C129" s="354"/>
      <c r="D129" s="354"/>
      <c r="E129" s="357"/>
      <c r="F129" s="356"/>
      <c r="G129" s="354"/>
      <c r="H129" s="357"/>
      <c r="I129" s="356"/>
      <c r="J129" s="354"/>
      <c r="K129" s="361"/>
    </row>
    <row r="130" spans="1:11" ht="13.15" customHeight="1" x14ac:dyDescent="0.25">
      <c r="A130" s="238" t="s">
        <v>861</v>
      </c>
      <c r="B130" s="237"/>
      <c r="C130" s="354"/>
      <c r="D130" s="354"/>
      <c r="E130" s="357"/>
      <c r="F130" s="356"/>
      <c r="G130" s="354"/>
      <c r="H130" s="357"/>
      <c r="I130" s="356"/>
      <c r="J130" s="354"/>
      <c r="K130" s="361"/>
    </row>
    <row r="131" spans="1:11" ht="13.15" customHeight="1" x14ac:dyDescent="0.25">
      <c r="A131" s="20" t="s">
        <v>952</v>
      </c>
      <c r="B131" s="237"/>
      <c r="C131" s="23">
        <f>SUM(C132:C134)</f>
        <v>0</v>
      </c>
      <c r="D131" s="23">
        <f t="shared" ref="D131:K131" si="19">SUM(D132:D134)</f>
        <v>0</v>
      </c>
      <c r="E131" s="23">
        <f t="shared" si="19"/>
        <v>0</v>
      </c>
      <c r="F131" s="24">
        <f t="shared" si="19"/>
        <v>0</v>
      </c>
      <c r="G131" s="23">
        <f t="shared" si="19"/>
        <v>0</v>
      </c>
      <c r="H131" s="83">
        <f t="shared" si="19"/>
        <v>0</v>
      </c>
      <c r="I131" s="319">
        <f t="shared" si="19"/>
        <v>0</v>
      </c>
      <c r="J131" s="23">
        <f t="shared" si="19"/>
        <v>0</v>
      </c>
      <c r="K131" s="83">
        <f t="shared" si="19"/>
        <v>0</v>
      </c>
    </row>
    <row r="132" spans="1:11" ht="13.15" customHeight="1" x14ac:dyDescent="0.25">
      <c r="A132" s="238" t="s">
        <v>953</v>
      </c>
      <c r="B132" s="237"/>
      <c r="C132" s="354"/>
      <c r="D132" s="354"/>
      <c r="E132" s="357"/>
      <c r="F132" s="356"/>
      <c r="G132" s="354"/>
      <c r="H132" s="357"/>
      <c r="I132" s="356"/>
      <c r="J132" s="354"/>
      <c r="K132" s="361"/>
    </row>
    <row r="133" spans="1:11" ht="13.15" customHeight="1" x14ac:dyDescent="0.25">
      <c r="A133" s="238" t="s">
        <v>954</v>
      </c>
      <c r="B133" s="237"/>
      <c r="C133" s="354"/>
      <c r="D133" s="354"/>
      <c r="E133" s="357"/>
      <c r="F133" s="356"/>
      <c r="G133" s="354"/>
      <c r="H133" s="357"/>
      <c r="I133" s="356"/>
      <c r="J133" s="354"/>
      <c r="K133" s="361"/>
    </row>
    <row r="134" spans="1:11" ht="13.15" customHeight="1" x14ac:dyDescent="0.25">
      <c r="A134" s="238" t="s">
        <v>861</v>
      </c>
      <c r="B134" s="237"/>
      <c r="C134" s="354"/>
      <c r="D134" s="354"/>
      <c r="E134" s="357"/>
      <c r="F134" s="356"/>
      <c r="G134" s="354"/>
      <c r="H134" s="357"/>
      <c r="I134" s="356"/>
      <c r="J134" s="354"/>
      <c r="K134" s="361"/>
    </row>
    <row r="135" spans="1:11" ht="5.0999999999999996" customHeight="1" x14ac:dyDescent="0.25">
      <c r="A135" s="242"/>
      <c r="B135" s="237"/>
      <c r="C135" s="23"/>
      <c r="D135" s="23"/>
      <c r="E135" s="240"/>
      <c r="F135" s="241"/>
      <c r="G135" s="23"/>
      <c r="H135" s="22"/>
      <c r="I135" s="241"/>
      <c r="J135" s="23"/>
      <c r="K135" s="240"/>
    </row>
    <row r="136" spans="1:11" ht="13.15" customHeight="1" x14ac:dyDescent="0.25">
      <c r="A136" s="19" t="s">
        <v>955</v>
      </c>
      <c r="B136" s="237"/>
      <c r="C136" s="23">
        <f t="shared" ref="C136:K136" si="20">SUM(C137:C137)</f>
        <v>0</v>
      </c>
      <c r="D136" s="23">
        <f t="shared" si="20"/>
        <v>0</v>
      </c>
      <c r="E136" s="240">
        <f t="shared" si="20"/>
        <v>0</v>
      </c>
      <c r="F136" s="241">
        <f t="shared" si="20"/>
        <v>0</v>
      </c>
      <c r="G136" s="23">
        <f t="shared" si="20"/>
        <v>0</v>
      </c>
      <c r="H136" s="22">
        <f t="shared" si="20"/>
        <v>0</v>
      </c>
      <c r="I136" s="241">
        <f t="shared" si="20"/>
        <v>0</v>
      </c>
      <c r="J136" s="23">
        <f t="shared" si="20"/>
        <v>0</v>
      </c>
      <c r="K136" s="240">
        <f t="shared" si="20"/>
        <v>0</v>
      </c>
    </row>
    <row r="137" spans="1:11" ht="13.15" customHeight="1" x14ac:dyDescent="0.25">
      <c r="A137" s="20" t="s">
        <v>955</v>
      </c>
      <c r="B137" s="237"/>
      <c r="C137" s="372"/>
      <c r="D137" s="372"/>
      <c r="E137" s="373"/>
      <c r="F137" s="374"/>
      <c r="G137" s="372"/>
      <c r="H137" s="375"/>
      <c r="I137" s="374"/>
      <c r="J137" s="372"/>
      <c r="K137" s="373"/>
    </row>
    <row r="138" spans="1:11" ht="5.0999999999999996" customHeight="1" x14ac:dyDescent="0.25">
      <c r="A138" s="21"/>
      <c r="B138" s="237"/>
      <c r="C138" s="23"/>
      <c r="D138" s="23"/>
      <c r="E138" s="240"/>
      <c r="F138" s="241"/>
      <c r="G138" s="23"/>
      <c r="H138" s="22"/>
      <c r="I138" s="241"/>
      <c r="J138" s="23"/>
      <c r="K138" s="240"/>
    </row>
    <row r="139" spans="1:11" ht="13.15" customHeight="1" x14ac:dyDescent="0.25">
      <c r="A139" s="19" t="s">
        <v>956</v>
      </c>
      <c r="B139" s="237"/>
      <c r="C139" s="23">
        <f>+C140+C141</f>
        <v>0</v>
      </c>
      <c r="D139" s="23">
        <f t="shared" ref="D139:K139" si="21">+D140+D141</f>
        <v>0</v>
      </c>
      <c r="E139" s="240">
        <f t="shared" si="21"/>
        <v>0</v>
      </c>
      <c r="F139" s="241">
        <f t="shared" si="21"/>
        <v>0</v>
      </c>
      <c r="G139" s="23">
        <f t="shared" si="21"/>
        <v>0</v>
      </c>
      <c r="H139" s="22">
        <f t="shared" si="21"/>
        <v>0</v>
      </c>
      <c r="I139" s="241">
        <f t="shared" si="21"/>
        <v>0</v>
      </c>
      <c r="J139" s="23">
        <f t="shared" si="21"/>
        <v>0</v>
      </c>
      <c r="K139" s="240">
        <f t="shared" si="21"/>
        <v>0</v>
      </c>
    </row>
    <row r="140" spans="1:11" ht="13.15" customHeight="1" x14ac:dyDescent="0.25">
      <c r="A140" s="20" t="s">
        <v>957</v>
      </c>
      <c r="B140" s="237"/>
      <c r="C140" s="372"/>
      <c r="D140" s="372"/>
      <c r="E140" s="373"/>
      <c r="F140" s="374"/>
      <c r="G140" s="372"/>
      <c r="H140" s="375"/>
      <c r="I140" s="374"/>
      <c r="J140" s="372"/>
      <c r="K140" s="373"/>
    </row>
    <row r="141" spans="1:11" ht="13.15" customHeight="1" x14ac:dyDescent="0.25">
      <c r="A141" s="20" t="s">
        <v>958</v>
      </c>
      <c r="B141" s="237"/>
      <c r="C141" s="23">
        <f>SUM(C142:C147)</f>
        <v>0</v>
      </c>
      <c r="D141" s="23">
        <f t="shared" ref="D141:K141" si="22">SUM(D142:D147)</f>
        <v>0</v>
      </c>
      <c r="E141" s="23">
        <f t="shared" si="22"/>
        <v>0</v>
      </c>
      <c r="F141" s="24">
        <f t="shared" si="22"/>
        <v>0</v>
      </c>
      <c r="G141" s="23">
        <f t="shared" si="22"/>
        <v>0</v>
      </c>
      <c r="H141" s="83">
        <f t="shared" si="22"/>
        <v>0</v>
      </c>
      <c r="I141" s="319">
        <f t="shared" si="22"/>
        <v>0</v>
      </c>
      <c r="J141" s="23">
        <f t="shared" si="22"/>
        <v>0</v>
      </c>
      <c r="K141" s="83">
        <f t="shared" si="22"/>
        <v>0</v>
      </c>
    </row>
    <row r="142" spans="1:11" ht="13.15" customHeight="1" x14ac:dyDescent="0.25">
      <c r="A142" s="238" t="s">
        <v>959</v>
      </c>
      <c r="B142" s="237"/>
      <c r="C142" s="354"/>
      <c r="D142" s="354"/>
      <c r="E142" s="357"/>
      <c r="F142" s="356"/>
      <c r="G142" s="354"/>
      <c r="H142" s="357"/>
      <c r="I142" s="356"/>
      <c r="J142" s="354"/>
      <c r="K142" s="361"/>
    </row>
    <row r="143" spans="1:11" ht="13.15" customHeight="1" x14ac:dyDescent="0.25">
      <c r="A143" s="238" t="s">
        <v>960</v>
      </c>
      <c r="B143" s="237"/>
      <c r="C143" s="354"/>
      <c r="D143" s="354"/>
      <c r="E143" s="357"/>
      <c r="F143" s="356"/>
      <c r="G143" s="354"/>
      <c r="H143" s="357"/>
      <c r="I143" s="356"/>
      <c r="J143" s="354"/>
      <c r="K143" s="361"/>
    </row>
    <row r="144" spans="1:11" ht="13.15" customHeight="1" x14ac:dyDescent="0.25">
      <c r="A144" s="238" t="s">
        <v>961</v>
      </c>
      <c r="B144" s="237"/>
      <c r="C144" s="354"/>
      <c r="D144" s="354"/>
      <c r="E144" s="357"/>
      <c r="F144" s="356"/>
      <c r="G144" s="354"/>
      <c r="H144" s="357"/>
      <c r="I144" s="356"/>
      <c r="J144" s="354"/>
      <c r="K144" s="361"/>
    </row>
    <row r="145" spans="1:11" ht="13.15" customHeight="1" x14ac:dyDescent="0.25">
      <c r="A145" s="238" t="s">
        <v>962</v>
      </c>
      <c r="B145" s="237"/>
      <c r="C145" s="354"/>
      <c r="D145" s="354"/>
      <c r="E145" s="357"/>
      <c r="F145" s="356"/>
      <c r="G145" s="354"/>
      <c r="H145" s="357"/>
      <c r="I145" s="356"/>
      <c r="J145" s="354"/>
      <c r="K145" s="361"/>
    </row>
    <row r="146" spans="1:11" ht="13.15" customHeight="1" x14ac:dyDescent="0.25">
      <c r="A146" s="238" t="s">
        <v>963</v>
      </c>
      <c r="B146" s="237"/>
      <c r="C146" s="354"/>
      <c r="D146" s="354"/>
      <c r="E146" s="357"/>
      <c r="F146" s="356"/>
      <c r="G146" s="354"/>
      <c r="H146" s="357"/>
      <c r="I146" s="356"/>
      <c r="J146" s="354"/>
      <c r="K146" s="361"/>
    </row>
    <row r="147" spans="1:11" ht="13.15" customHeight="1" x14ac:dyDescent="0.25">
      <c r="A147" s="238" t="s">
        <v>964</v>
      </c>
      <c r="B147" s="237"/>
      <c r="C147" s="354"/>
      <c r="D147" s="354"/>
      <c r="E147" s="357"/>
      <c r="F147" s="356"/>
      <c r="G147" s="354"/>
      <c r="H147" s="357"/>
      <c r="I147" s="356"/>
      <c r="J147" s="354"/>
      <c r="K147" s="361"/>
    </row>
    <row r="148" spans="1:11" ht="5.0999999999999996" customHeight="1" x14ac:dyDescent="0.25">
      <c r="A148" s="21"/>
      <c r="B148" s="237"/>
      <c r="C148" s="26"/>
      <c r="D148" s="26"/>
      <c r="E148" s="233"/>
      <c r="F148" s="232"/>
      <c r="G148" s="26"/>
      <c r="H148" s="25"/>
      <c r="I148" s="232"/>
      <c r="J148" s="26"/>
      <c r="K148" s="233"/>
    </row>
    <row r="149" spans="1:11" ht="13.15" customHeight="1" x14ac:dyDescent="0.25">
      <c r="A149" s="19" t="s">
        <v>965</v>
      </c>
      <c r="B149" s="237"/>
      <c r="C149" s="23">
        <f t="shared" ref="C149:K149" si="23">SUM(C150:C150)</f>
        <v>0</v>
      </c>
      <c r="D149" s="23">
        <f t="shared" si="23"/>
        <v>0</v>
      </c>
      <c r="E149" s="240">
        <f t="shared" si="23"/>
        <v>0</v>
      </c>
      <c r="F149" s="241">
        <f t="shared" si="23"/>
        <v>0</v>
      </c>
      <c r="G149" s="23">
        <f t="shared" si="23"/>
        <v>0</v>
      </c>
      <c r="H149" s="22">
        <f t="shared" si="23"/>
        <v>0</v>
      </c>
      <c r="I149" s="241">
        <f t="shared" si="23"/>
        <v>10000</v>
      </c>
      <c r="J149" s="23">
        <f t="shared" si="23"/>
        <v>10500</v>
      </c>
      <c r="K149" s="240">
        <f t="shared" si="23"/>
        <v>11025</v>
      </c>
    </row>
    <row r="150" spans="1:11" ht="13.15" customHeight="1" x14ac:dyDescent="0.25">
      <c r="A150" s="20" t="s">
        <v>965</v>
      </c>
      <c r="B150" s="237"/>
      <c r="C150" s="372"/>
      <c r="D150" s="372"/>
      <c r="E150" s="373"/>
      <c r="F150" s="374"/>
      <c r="G150" s="372"/>
      <c r="H150" s="375">
        <f>G150</f>
        <v>0</v>
      </c>
      <c r="I150" s="374">
        <v>10000</v>
      </c>
      <c r="J150" s="372">
        <f>I150*1.05</f>
        <v>10500</v>
      </c>
      <c r="K150" s="372">
        <f>J150*1.05</f>
        <v>11025</v>
      </c>
    </row>
    <row r="151" spans="1:11" ht="5.0999999999999996" customHeight="1" x14ac:dyDescent="0.25">
      <c r="A151" s="21"/>
      <c r="B151" s="237"/>
      <c r="C151" s="23"/>
      <c r="D151" s="23"/>
      <c r="E151" s="240"/>
      <c r="F151" s="241"/>
      <c r="G151" s="23"/>
      <c r="H151" s="22"/>
      <c r="I151" s="241"/>
      <c r="J151" s="23"/>
      <c r="K151" s="240"/>
    </row>
    <row r="152" spans="1:11" ht="13.15" customHeight="1" x14ac:dyDescent="0.25">
      <c r="A152" s="19" t="s">
        <v>966</v>
      </c>
      <c r="B152" s="237"/>
      <c r="C152" s="23">
        <f t="shared" ref="C152:K152" si="24">SUM(C153:C153)</f>
        <v>0</v>
      </c>
      <c r="D152" s="23">
        <f t="shared" si="24"/>
        <v>0</v>
      </c>
      <c r="E152" s="240">
        <f t="shared" si="24"/>
        <v>0</v>
      </c>
      <c r="F152" s="241">
        <f t="shared" si="24"/>
        <v>0</v>
      </c>
      <c r="G152" s="23">
        <f t="shared" si="24"/>
        <v>0</v>
      </c>
      <c r="H152" s="22">
        <f t="shared" si="24"/>
        <v>0</v>
      </c>
      <c r="I152" s="241">
        <f t="shared" si="24"/>
        <v>0</v>
      </c>
      <c r="J152" s="23">
        <f t="shared" si="24"/>
        <v>0</v>
      </c>
      <c r="K152" s="240">
        <f t="shared" si="24"/>
        <v>0</v>
      </c>
    </row>
    <row r="153" spans="1:11" ht="13.15" customHeight="1" x14ac:dyDescent="0.25">
      <c r="A153" s="20" t="s">
        <v>966</v>
      </c>
      <c r="B153" s="237"/>
      <c r="C153" s="372"/>
      <c r="D153" s="372"/>
      <c r="E153" s="373"/>
      <c r="F153" s="374"/>
      <c r="G153" s="372"/>
      <c r="H153" s="375"/>
      <c r="I153" s="374"/>
      <c r="J153" s="372"/>
      <c r="K153" s="373"/>
    </row>
    <row r="154" spans="1:11" ht="5.0999999999999996" customHeight="1" x14ac:dyDescent="0.25">
      <c r="A154" s="21"/>
      <c r="B154" s="237"/>
      <c r="C154" s="23"/>
      <c r="D154" s="23"/>
      <c r="E154" s="240"/>
      <c r="F154" s="241"/>
      <c r="G154" s="23"/>
      <c r="H154" s="22"/>
      <c r="I154" s="241"/>
      <c r="J154" s="23"/>
      <c r="K154" s="240"/>
    </row>
    <row r="155" spans="1:11" ht="13.15" customHeight="1" x14ac:dyDescent="0.25">
      <c r="A155" s="19" t="s">
        <v>967</v>
      </c>
      <c r="B155" s="237"/>
      <c r="C155" s="23">
        <f t="shared" ref="C155:K155" si="25">SUM(C156:C156)</f>
        <v>0</v>
      </c>
      <c r="D155" s="23">
        <f t="shared" si="25"/>
        <v>0</v>
      </c>
      <c r="E155" s="240">
        <f t="shared" si="25"/>
        <v>0</v>
      </c>
      <c r="F155" s="241">
        <f t="shared" si="25"/>
        <v>0</v>
      </c>
      <c r="G155" s="23">
        <f t="shared" si="25"/>
        <v>0</v>
      </c>
      <c r="H155" s="22">
        <f t="shared" si="25"/>
        <v>0</v>
      </c>
      <c r="I155" s="241">
        <f t="shared" si="25"/>
        <v>0</v>
      </c>
      <c r="J155" s="23">
        <f t="shared" si="25"/>
        <v>0</v>
      </c>
      <c r="K155" s="240">
        <f t="shared" si="25"/>
        <v>0</v>
      </c>
    </row>
    <row r="156" spans="1:11" ht="13.15" customHeight="1" x14ac:dyDescent="0.25">
      <c r="A156" s="20" t="s">
        <v>967</v>
      </c>
      <c r="B156" s="237"/>
      <c r="C156" s="372"/>
      <c r="D156" s="372"/>
      <c r="E156" s="373"/>
      <c r="F156" s="374"/>
      <c r="G156" s="372"/>
      <c r="H156" s="375"/>
      <c r="I156" s="374"/>
      <c r="J156" s="372"/>
      <c r="K156" s="373"/>
    </row>
    <row r="157" spans="1:11" ht="5.0999999999999996" customHeight="1" x14ac:dyDescent="0.25">
      <c r="A157" s="21"/>
      <c r="B157" s="237"/>
      <c r="C157" s="23"/>
      <c r="D157" s="23"/>
      <c r="E157" s="240"/>
      <c r="F157" s="241"/>
      <c r="G157" s="23"/>
      <c r="H157" s="22"/>
      <c r="I157" s="241"/>
      <c r="J157" s="23"/>
      <c r="K157" s="240"/>
    </row>
    <row r="158" spans="1:11" ht="13.15" customHeight="1" x14ac:dyDescent="0.25">
      <c r="A158" s="19" t="s">
        <v>968</v>
      </c>
      <c r="B158" s="237"/>
      <c r="C158" s="23">
        <f t="shared" ref="C158:K158" si="26">SUM(C159:C159)</f>
        <v>0</v>
      </c>
      <c r="D158" s="23">
        <f t="shared" si="26"/>
        <v>0</v>
      </c>
      <c r="E158" s="240">
        <f t="shared" si="26"/>
        <v>0</v>
      </c>
      <c r="F158" s="241">
        <f t="shared" si="26"/>
        <v>0</v>
      </c>
      <c r="G158" s="23">
        <f t="shared" si="26"/>
        <v>0</v>
      </c>
      <c r="H158" s="22">
        <f t="shared" si="26"/>
        <v>0</v>
      </c>
      <c r="I158" s="241">
        <f t="shared" si="26"/>
        <v>50000</v>
      </c>
      <c r="J158" s="23">
        <f t="shared" si="26"/>
        <v>52500</v>
      </c>
      <c r="K158" s="240">
        <f t="shared" si="26"/>
        <v>55125</v>
      </c>
    </row>
    <row r="159" spans="1:11" ht="13.15" customHeight="1" x14ac:dyDescent="0.25">
      <c r="A159" s="20" t="s">
        <v>968</v>
      </c>
      <c r="B159" s="237"/>
      <c r="C159" s="372"/>
      <c r="D159" s="372"/>
      <c r="E159" s="373"/>
      <c r="F159" s="374"/>
      <c r="G159" s="372"/>
      <c r="H159" s="375">
        <f>G159</f>
        <v>0</v>
      </c>
      <c r="I159" s="374">
        <v>50000</v>
      </c>
      <c r="J159" s="372">
        <f>I159*1.05</f>
        <v>52500</v>
      </c>
      <c r="K159" s="372">
        <f>J159*1.05</f>
        <v>55125</v>
      </c>
    </row>
    <row r="160" spans="1:11" ht="5.0999999999999996" customHeight="1" x14ac:dyDescent="0.25">
      <c r="A160" s="21"/>
      <c r="B160" s="237"/>
      <c r="C160" s="23"/>
      <c r="D160" s="23"/>
      <c r="E160" s="240"/>
      <c r="F160" s="241"/>
      <c r="G160" s="23"/>
      <c r="H160" s="22"/>
      <c r="I160" s="241"/>
      <c r="J160" s="23"/>
      <c r="K160" s="240"/>
    </row>
    <row r="161" spans="1:11" ht="13.15" customHeight="1" x14ac:dyDescent="0.25">
      <c r="A161" s="19" t="s">
        <v>983</v>
      </c>
      <c r="B161" s="237"/>
      <c r="C161" s="23">
        <f t="shared" ref="C161:K161" si="27">SUM(C162:C162)</f>
        <v>0</v>
      </c>
      <c r="D161" s="23">
        <f t="shared" si="27"/>
        <v>0</v>
      </c>
      <c r="E161" s="240">
        <f t="shared" si="27"/>
        <v>0</v>
      </c>
      <c r="F161" s="241">
        <f t="shared" si="27"/>
        <v>0</v>
      </c>
      <c r="G161" s="23">
        <f t="shared" si="27"/>
        <v>0</v>
      </c>
      <c r="H161" s="22">
        <f t="shared" si="27"/>
        <v>0</v>
      </c>
      <c r="I161" s="241">
        <f t="shared" si="27"/>
        <v>0</v>
      </c>
      <c r="J161" s="23">
        <f t="shared" si="27"/>
        <v>0</v>
      </c>
      <c r="K161" s="240">
        <f t="shared" si="27"/>
        <v>0</v>
      </c>
    </row>
    <row r="162" spans="1:11" ht="13.15" customHeight="1" x14ac:dyDescent="0.25">
      <c r="A162" s="20" t="s">
        <v>983</v>
      </c>
      <c r="B162" s="237"/>
      <c r="C162" s="372"/>
      <c r="D162" s="372"/>
      <c r="E162" s="373"/>
      <c r="F162" s="374"/>
      <c r="G162" s="372"/>
      <c r="H162" s="375"/>
      <c r="I162" s="374"/>
      <c r="J162" s="372"/>
      <c r="K162" s="373"/>
    </row>
    <row r="163" spans="1:11" ht="5.0999999999999996" customHeight="1" x14ac:dyDescent="0.25">
      <c r="A163" s="21"/>
      <c r="B163" s="237"/>
      <c r="C163" s="23"/>
      <c r="D163" s="23"/>
      <c r="E163" s="240"/>
      <c r="F163" s="241"/>
      <c r="G163" s="23"/>
      <c r="H163" s="22"/>
      <c r="I163" s="241"/>
      <c r="J163" s="23"/>
      <c r="K163" s="240"/>
    </row>
    <row r="164" spans="1:11" ht="13.15" customHeight="1" x14ac:dyDescent="0.25">
      <c r="A164" s="19" t="s">
        <v>969</v>
      </c>
      <c r="B164" s="237"/>
      <c r="C164" s="23">
        <f t="shared" ref="C164:K164" si="28">SUM(C165:C165)</f>
        <v>0</v>
      </c>
      <c r="D164" s="23">
        <f t="shared" si="28"/>
        <v>0</v>
      </c>
      <c r="E164" s="240">
        <f t="shared" si="28"/>
        <v>0</v>
      </c>
      <c r="F164" s="241">
        <f t="shared" si="28"/>
        <v>0</v>
      </c>
      <c r="G164" s="23">
        <f t="shared" si="28"/>
        <v>0</v>
      </c>
      <c r="H164" s="22">
        <f t="shared" si="28"/>
        <v>0</v>
      </c>
      <c r="I164" s="241">
        <f t="shared" si="28"/>
        <v>0</v>
      </c>
      <c r="J164" s="23">
        <f t="shared" si="28"/>
        <v>0</v>
      </c>
      <c r="K164" s="240">
        <f t="shared" si="28"/>
        <v>0</v>
      </c>
    </row>
    <row r="165" spans="1:11" ht="13.15" customHeight="1" x14ac:dyDescent="0.25">
      <c r="A165" s="20" t="s">
        <v>969</v>
      </c>
      <c r="B165" s="237"/>
      <c r="C165" s="372"/>
      <c r="D165" s="372"/>
      <c r="E165" s="373"/>
      <c r="F165" s="374"/>
      <c r="G165" s="372"/>
      <c r="H165" s="375"/>
      <c r="I165" s="374"/>
      <c r="J165" s="372"/>
      <c r="K165" s="373"/>
    </row>
    <row r="166" spans="1:11" ht="5.0999999999999996" customHeight="1" x14ac:dyDescent="0.25">
      <c r="A166" s="21"/>
      <c r="B166" s="237"/>
      <c r="C166" s="23"/>
      <c r="D166" s="23"/>
      <c r="E166" s="240"/>
      <c r="F166" s="241"/>
      <c r="G166" s="23"/>
      <c r="H166" s="22"/>
      <c r="I166" s="241"/>
      <c r="J166" s="23"/>
      <c r="K166" s="240"/>
    </row>
    <row r="167" spans="1:11" ht="13.15" customHeight="1" x14ac:dyDescent="0.25">
      <c r="A167" s="28" t="s">
        <v>835</v>
      </c>
      <c r="B167" s="376"/>
      <c r="C167" s="29">
        <f>C6+C74+C103+C110+C118+C136+C139+C149+C152+C155+C158+C161+C164</f>
        <v>170414</v>
      </c>
      <c r="D167" s="29">
        <f t="shared" ref="D167:K167" si="29">D6+D74+D103+D110+D118+D136+D139+D149+D152+D155+D158+D161+D164</f>
        <v>125772</v>
      </c>
      <c r="E167" s="377">
        <f t="shared" si="29"/>
        <v>48405</v>
      </c>
      <c r="F167" s="378">
        <f t="shared" si="29"/>
        <v>70000</v>
      </c>
      <c r="G167" s="29">
        <f t="shared" si="29"/>
        <v>55000</v>
      </c>
      <c r="H167" s="379">
        <f t="shared" si="29"/>
        <v>55000</v>
      </c>
      <c r="I167" s="378">
        <f t="shared" si="29"/>
        <v>160000</v>
      </c>
      <c r="J167" s="29">
        <f t="shared" si="29"/>
        <v>168000</v>
      </c>
      <c r="K167" s="377">
        <f t="shared" si="29"/>
        <v>176400</v>
      </c>
    </row>
    <row r="168" spans="1:11" ht="12.75" customHeight="1" x14ac:dyDescent="0.25">
      <c r="A168" s="31"/>
      <c r="C168" s="35"/>
      <c r="D168" s="35"/>
      <c r="E168" s="35"/>
      <c r="F168" s="35"/>
      <c r="G168" s="35"/>
      <c r="H168" s="35"/>
      <c r="I168" s="35"/>
      <c r="J168" s="35"/>
      <c r="K168" s="35"/>
    </row>
    <row r="169" spans="1:11" ht="12.75" customHeight="1" x14ac:dyDescent="0.25">
      <c r="A169" s="41"/>
      <c r="C169" s="34"/>
      <c r="D169" s="34"/>
      <c r="E169" s="35"/>
      <c r="F169" s="35"/>
      <c r="G169" s="35"/>
      <c r="H169" s="35"/>
      <c r="I169" s="35"/>
      <c r="J169" s="35"/>
      <c r="K169" s="35"/>
    </row>
    <row r="170" spans="1:11" ht="11.25" customHeight="1" x14ac:dyDescent="0.25">
      <c r="C170" s="34"/>
      <c r="D170" s="34"/>
      <c r="E170" s="35"/>
      <c r="F170" s="35"/>
      <c r="G170" s="35"/>
      <c r="H170" s="35"/>
      <c r="I170" s="35"/>
      <c r="J170" s="35"/>
      <c r="K170" s="35"/>
    </row>
    <row r="171" spans="1:11" ht="11.25" customHeight="1" x14ac:dyDescent="0.25"/>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sheetData>
  <sheetProtection sheet="1" objects="1" scenarios="1"/>
  <printOptions horizontalCentered="1"/>
  <pageMargins left="0.37" right="0.14000000000000001" top="0.79" bottom="0.6" header="0.51181102362204722" footer="0.51"/>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0">
    <tabColor indexed="40"/>
    <pageSetUpPr fitToPage="1"/>
  </sheetPr>
  <dimension ref="A1:N104"/>
  <sheetViews>
    <sheetView workbookViewId="0">
      <pane ySplit="1" topLeftCell="A71" activePane="bottomLeft" state="frozen"/>
      <selection activeCell="M29" sqref="M29"/>
      <selection pane="bottomLeft" activeCell="B92" sqref="B92"/>
    </sheetView>
  </sheetViews>
  <sheetFormatPr defaultColWidth="9.140625" defaultRowHeight="11.25" x14ac:dyDescent="0.2"/>
  <cols>
    <col min="1" max="1" width="10.7109375" style="3" customWidth="1"/>
    <col min="2" max="2" width="68.7109375" style="1" bestFit="1" customWidth="1"/>
    <col min="3" max="3" width="28.85546875" style="1" bestFit="1" customWidth="1"/>
    <col min="4" max="4" width="16.140625" style="1" customWidth="1"/>
    <col min="5" max="8" width="9.140625" style="3"/>
    <col min="9" max="16384" width="9.140625" style="1"/>
  </cols>
  <sheetData>
    <row r="1" spans="1:4" x14ac:dyDescent="0.2">
      <c r="A1" s="514" t="s">
        <v>161</v>
      </c>
      <c r="B1" s="515"/>
      <c r="C1" s="515"/>
      <c r="D1" s="516"/>
    </row>
    <row r="2" spans="1:4" x14ac:dyDescent="0.2">
      <c r="A2" s="8" t="s">
        <v>346</v>
      </c>
      <c r="B2" s="324" t="str">
        <f>HLOOKUP(MTREF,Headings,2)</f>
        <v>2017/18</v>
      </c>
      <c r="C2" s="325" t="s">
        <v>483</v>
      </c>
      <c r="D2" s="320"/>
    </row>
    <row r="3" spans="1:4" x14ac:dyDescent="0.2">
      <c r="A3" s="2" t="s">
        <v>113</v>
      </c>
      <c r="B3" s="326" t="str">
        <f>HLOOKUP(MTREF,Headings,3)</f>
        <v>2016/17</v>
      </c>
      <c r="C3" s="327" t="s">
        <v>484</v>
      </c>
      <c r="D3" s="321"/>
    </row>
    <row r="4" spans="1:4" x14ac:dyDescent="0.2">
      <c r="A4" s="2" t="s">
        <v>176</v>
      </c>
      <c r="B4" s="326" t="str">
        <f>HLOOKUP(MTREF,Headings,4)</f>
        <v>2015/16</v>
      </c>
      <c r="C4" s="327" t="s">
        <v>485</v>
      </c>
      <c r="D4" s="321"/>
    </row>
    <row r="5" spans="1:4" x14ac:dyDescent="0.2">
      <c r="A5" s="2" t="s">
        <v>364</v>
      </c>
      <c r="B5" s="327" t="str">
        <f>HLOOKUP(MTREF,Headings,5)</f>
        <v>Current Year 2018/19</v>
      </c>
      <c r="C5" s="327" t="s">
        <v>486</v>
      </c>
      <c r="D5" s="321"/>
    </row>
    <row r="6" spans="1:4" x14ac:dyDescent="0.2">
      <c r="A6" s="2" t="s">
        <v>200</v>
      </c>
      <c r="B6" s="326" t="str">
        <f>HLOOKUP(MTREF,Headings,6)</f>
        <v>2018/19</v>
      </c>
      <c r="C6" s="327" t="s">
        <v>486</v>
      </c>
      <c r="D6" s="321"/>
    </row>
    <row r="7" spans="1:4" x14ac:dyDescent="0.2">
      <c r="A7" s="2" t="s">
        <v>365</v>
      </c>
      <c r="B7" s="327" t="str">
        <f>HLOOKUP(MTREF,Headings,7)</f>
        <v>2019/20 Medium Term Revenue &amp; Expenditure Framework</v>
      </c>
      <c r="C7" s="327" t="s">
        <v>487</v>
      </c>
      <c r="D7" s="321"/>
    </row>
    <row r="8" spans="1:4" x14ac:dyDescent="0.2">
      <c r="A8" s="2" t="s">
        <v>414</v>
      </c>
      <c r="B8" s="1" t="s">
        <v>306</v>
      </c>
      <c r="D8" s="6"/>
    </row>
    <row r="9" spans="1:4" x14ac:dyDescent="0.2">
      <c r="A9" s="2" t="s">
        <v>366</v>
      </c>
      <c r="B9" s="1" t="s">
        <v>132</v>
      </c>
      <c r="D9" s="6"/>
    </row>
    <row r="10" spans="1:4" x14ac:dyDescent="0.2">
      <c r="A10" s="2" t="s">
        <v>367</v>
      </c>
      <c r="B10" s="1" t="s">
        <v>71</v>
      </c>
      <c r="D10" s="6"/>
    </row>
    <row r="11" spans="1:4" x14ac:dyDescent="0.2">
      <c r="A11" s="2" t="s">
        <v>88</v>
      </c>
      <c r="B11" s="1" t="s">
        <v>89</v>
      </c>
      <c r="D11" s="6"/>
    </row>
    <row r="12" spans="1:4" x14ac:dyDescent="0.2">
      <c r="A12" s="2" t="s">
        <v>409</v>
      </c>
      <c r="B12" s="1" t="s">
        <v>410</v>
      </c>
      <c r="D12" s="6"/>
    </row>
    <row r="13" spans="1:4" x14ac:dyDescent="0.2">
      <c r="A13" s="2" t="s">
        <v>368</v>
      </c>
      <c r="B13" s="1" t="s">
        <v>137</v>
      </c>
      <c r="D13" s="6"/>
    </row>
    <row r="14" spans="1:4" x14ac:dyDescent="0.2">
      <c r="A14" s="2" t="s">
        <v>369</v>
      </c>
      <c r="B14" s="1" t="s">
        <v>307</v>
      </c>
      <c r="D14" s="6"/>
    </row>
    <row r="15" spans="1:4" x14ac:dyDescent="0.2">
      <c r="A15" s="2" t="s">
        <v>370</v>
      </c>
      <c r="B15" s="1" t="s">
        <v>308</v>
      </c>
      <c r="D15" s="6"/>
    </row>
    <row r="16" spans="1:4" x14ac:dyDescent="0.2">
      <c r="A16" s="2" t="s">
        <v>371</v>
      </c>
      <c r="B16" s="327" t="str">
        <f>HLOOKUP(MTREF,Headings,8)</f>
        <v>Budget Year 2019/20</v>
      </c>
      <c r="C16" s="327" t="s">
        <v>488</v>
      </c>
      <c r="D16" s="11" t="s">
        <v>209</v>
      </c>
    </row>
    <row r="17" spans="1:4" x14ac:dyDescent="0.2">
      <c r="A17" s="2" t="s">
        <v>372</v>
      </c>
      <c r="B17" s="327" t="str">
        <f>HLOOKUP(MTREF,Headings,9)</f>
        <v>Budget Year +1 2020/21</v>
      </c>
      <c r="C17" s="327" t="s">
        <v>489</v>
      </c>
      <c r="D17" s="11" t="s">
        <v>210</v>
      </c>
    </row>
    <row r="18" spans="1:4" x14ac:dyDescent="0.2">
      <c r="A18" s="2" t="s">
        <v>374</v>
      </c>
      <c r="B18" s="327" t="str">
        <f>HLOOKUP(MTREF,Headings,10)</f>
        <v>Budget Year +2 2021/22</v>
      </c>
      <c r="C18" s="327" t="s">
        <v>490</v>
      </c>
      <c r="D18" s="11" t="s">
        <v>211</v>
      </c>
    </row>
    <row r="19" spans="1:4" x14ac:dyDescent="0.2">
      <c r="A19" s="2" t="s">
        <v>375</v>
      </c>
      <c r="B19" s="327" t="str">
        <f>HLOOKUP(MTREF,Headings,11)</f>
        <v>Forecast 2022/23</v>
      </c>
      <c r="C19" s="327" t="s">
        <v>491</v>
      </c>
      <c r="D19" s="11" t="s">
        <v>212</v>
      </c>
    </row>
    <row r="20" spans="1:4" x14ac:dyDescent="0.2">
      <c r="A20" s="2" t="s">
        <v>376</v>
      </c>
      <c r="B20" s="327" t="str">
        <f>HLOOKUP(MTREF,Headings,12)</f>
        <v>Forecast 2023/24</v>
      </c>
      <c r="C20" s="327" t="s">
        <v>492</v>
      </c>
      <c r="D20" s="11" t="s">
        <v>213</v>
      </c>
    </row>
    <row r="21" spans="1:4" x14ac:dyDescent="0.2">
      <c r="A21" s="2" t="s">
        <v>377</v>
      </c>
      <c r="B21" s="327" t="str">
        <f>HLOOKUP(MTREF,Headings,13)</f>
        <v>Forecast 2024/25</v>
      </c>
      <c r="C21" s="327" t="s">
        <v>492</v>
      </c>
      <c r="D21" s="11" t="s">
        <v>214</v>
      </c>
    </row>
    <row r="22" spans="1:4" x14ac:dyDescent="0.2">
      <c r="A22" s="2" t="s">
        <v>378</v>
      </c>
      <c r="B22" s="327" t="str">
        <f>HLOOKUP(MTREF,Headings,14)</f>
        <v>Forecast 2025/26</v>
      </c>
      <c r="C22" s="327" t="s">
        <v>492</v>
      </c>
      <c r="D22" s="11" t="s">
        <v>215</v>
      </c>
    </row>
    <row r="23" spans="1:4" x14ac:dyDescent="0.2">
      <c r="A23" s="2" t="s">
        <v>379</v>
      </c>
      <c r="B23" s="327" t="str">
        <f>HLOOKUP(MTREF,Headings,15)</f>
        <v>Forecast 2026/27</v>
      </c>
      <c r="C23" s="327" t="s">
        <v>492</v>
      </c>
      <c r="D23" s="11" t="s">
        <v>216</v>
      </c>
    </row>
    <row r="24" spans="1:4" x14ac:dyDescent="0.2">
      <c r="A24" s="2" t="s">
        <v>380</v>
      </c>
      <c r="B24" s="327" t="str">
        <f>HLOOKUP(MTREF,Headings,16)</f>
        <v>Forecast 2027/28</v>
      </c>
      <c r="C24" s="327" t="s">
        <v>492</v>
      </c>
      <c r="D24" s="11" t="s">
        <v>217</v>
      </c>
    </row>
    <row r="25" spans="1:4" x14ac:dyDescent="0.2">
      <c r="A25" s="2" t="s">
        <v>381</v>
      </c>
      <c r="B25" s="327" t="str">
        <f>HLOOKUP(MTREF,Headings,17)</f>
        <v>Forecast 2028/29</v>
      </c>
      <c r="C25" s="327" t="s">
        <v>492</v>
      </c>
      <c r="D25" s="11" t="s">
        <v>146</v>
      </c>
    </row>
    <row r="26" spans="1:4" x14ac:dyDescent="0.2">
      <c r="A26" s="2" t="s">
        <v>382</v>
      </c>
      <c r="B26" s="327" t="str">
        <f>HLOOKUP(MTREF,Headings,18)</f>
        <v>Forecast 2029/30</v>
      </c>
      <c r="C26" s="327" t="s">
        <v>492</v>
      </c>
      <c r="D26" s="11" t="s">
        <v>41</v>
      </c>
    </row>
    <row r="27" spans="1:4" x14ac:dyDescent="0.2">
      <c r="A27" s="2" t="s">
        <v>383</v>
      </c>
      <c r="B27" s="327" t="str">
        <f>HLOOKUP(MTREF,Headings,19)</f>
        <v>Forecast 2030/31</v>
      </c>
      <c r="C27" s="327" t="s">
        <v>492</v>
      </c>
      <c r="D27" s="11" t="s">
        <v>42</v>
      </c>
    </row>
    <row r="28" spans="1:4" x14ac:dyDescent="0.2">
      <c r="A28" s="2" t="s">
        <v>384</v>
      </c>
      <c r="B28" s="327" t="str">
        <f>HLOOKUP(MTREF,Headings,20)</f>
        <v>Forecast 2031/32</v>
      </c>
      <c r="C28" s="327" t="s">
        <v>492</v>
      </c>
      <c r="D28" s="11" t="s">
        <v>43</v>
      </c>
    </row>
    <row r="29" spans="1:4" x14ac:dyDescent="0.2">
      <c r="A29" s="2" t="s">
        <v>385</v>
      </c>
      <c r="B29" s="327" t="str">
        <f>HLOOKUP(MTREF,Headings,21)</f>
        <v>Forecast 2032/33</v>
      </c>
      <c r="C29" s="327" t="s">
        <v>492</v>
      </c>
      <c r="D29" s="11" t="s">
        <v>44</v>
      </c>
    </row>
    <row r="30" spans="1:4" x14ac:dyDescent="0.2">
      <c r="A30" s="2" t="s">
        <v>386</v>
      </c>
      <c r="B30" s="327" t="str">
        <f>HLOOKUP(MTREF,Headings,22)</f>
        <v>Forecast 2033/34</v>
      </c>
      <c r="C30" s="327" t="s">
        <v>492</v>
      </c>
      <c r="D30" s="11" t="s">
        <v>45</v>
      </c>
    </row>
    <row r="31" spans="1:4" x14ac:dyDescent="0.2">
      <c r="A31" s="2" t="s">
        <v>148</v>
      </c>
      <c r="B31" s="1" t="s">
        <v>191</v>
      </c>
      <c r="D31" s="11" t="s">
        <v>149</v>
      </c>
    </row>
    <row r="32" spans="1:4" x14ac:dyDescent="0.2">
      <c r="A32" s="2" t="s">
        <v>85</v>
      </c>
      <c r="B32" s="1" t="s">
        <v>5</v>
      </c>
      <c r="D32" s="11" t="s">
        <v>86</v>
      </c>
    </row>
    <row r="33" spans="1:4" x14ac:dyDescent="0.2">
      <c r="A33" s="2" t="s">
        <v>177</v>
      </c>
      <c r="B33" s="1" t="s">
        <v>178</v>
      </c>
      <c r="D33" s="11" t="s">
        <v>179</v>
      </c>
    </row>
    <row r="34" spans="1:4" x14ac:dyDescent="0.2">
      <c r="A34" s="2" t="s">
        <v>180</v>
      </c>
      <c r="B34" s="1" t="s">
        <v>103</v>
      </c>
      <c r="D34" s="11"/>
    </row>
    <row r="35" spans="1:4" x14ac:dyDescent="0.2">
      <c r="A35" s="2" t="s">
        <v>164</v>
      </c>
      <c r="B35" s="1" t="s">
        <v>165</v>
      </c>
      <c r="D35" s="11"/>
    </row>
    <row r="36" spans="1:4" x14ac:dyDescent="0.2">
      <c r="A36" s="2" t="s">
        <v>100</v>
      </c>
      <c r="B36" s="1" t="s">
        <v>339</v>
      </c>
      <c r="D36" s="11" t="s">
        <v>101</v>
      </c>
    </row>
    <row r="37" spans="1:4" x14ac:dyDescent="0.2">
      <c r="A37" s="2" t="s">
        <v>259</v>
      </c>
      <c r="B37" s="327" t="str">
        <f>HLOOKUP(MTREF,Headings,23)</f>
        <v>Annual target 2019/20</v>
      </c>
      <c r="D37" s="11"/>
    </row>
    <row r="38" spans="1:4" x14ac:dyDescent="0.2">
      <c r="A38" s="2" t="s">
        <v>260</v>
      </c>
      <c r="B38" s="327" t="str">
        <f>HLOOKUP(MTREF,Headings,24)</f>
        <v>Revised target 2019/20</v>
      </c>
      <c r="D38" s="11"/>
    </row>
    <row r="39" spans="1:4" x14ac:dyDescent="0.2">
      <c r="A39" s="2" t="s">
        <v>261</v>
      </c>
      <c r="B39" s="1" t="s">
        <v>74</v>
      </c>
      <c r="D39" s="11"/>
    </row>
    <row r="40" spans="1:4" x14ac:dyDescent="0.2">
      <c r="A40" s="2" t="s">
        <v>262</v>
      </c>
      <c r="B40" s="1" t="s">
        <v>139</v>
      </c>
      <c r="D40" s="11"/>
    </row>
    <row r="41" spans="1:4" x14ac:dyDescent="0.2">
      <c r="A41" s="2" t="s">
        <v>263</v>
      </c>
      <c r="B41" s="1" t="s">
        <v>140</v>
      </c>
      <c r="D41" s="11"/>
    </row>
    <row r="42" spans="1:4" x14ac:dyDescent="0.2">
      <c r="A42" s="2" t="s">
        <v>264</v>
      </c>
      <c r="B42" s="1" t="s">
        <v>72</v>
      </c>
      <c r="D42" s="11"/>
    </row>
    <row r="43" spans="1:4" x14ac:dyDescent="0.2">
      <c r="A43" s="2" t="s">
        <v>73</v>
      </c>
      <c r="B43" s="1" t="s">
        <v>118</v>
      </c>
      <c r="D43" s="11"/>
    </row>
    <row r="44" spans="1:4" x14ac:dyDescent="0.2">
      <c r="A44" s="2" t="s">
        <v>239</v>
      </c>
      <c r="B44" s="1" t="s">
        <v>192</v>
      </c>
      <c r="D44" s="11"/>
    </row>
    <row r="45" spans="1:4" x14ac:dyDescent="0.2">
      <c r="A45" s="2" t="s">
        <v>240</v>
      </c>
      <c r="B45" s="1" t="s">
        <v>193</v>
      </c>
      <c r="D45" s="11"/>
    </row>
    <row r="46" spans="1:4" x14ac:dyDescent="0.2">
      <c r="A46" s="2" t="s">
        <v>241</v>
      </c>
      <c r="B46" s="1" t="s">
        <v>246</v>
      </c>
      <c r="D46" s="11"/>
    </row>
    <row r="47" spans="1:4" x14ac:dyDescent="0.2">
      <c r="A47" s="2" t="s">
        <v>245</v>
      </c>
      <c r="B47" s="1" t="s">
        <v>228</v>
      </c>
      <c r="D47" s="11"/>
    </row>
    <row r="48" spans="1:4" x14ac:dyDescent="0.2">
      <c r="A48" s="2" t="s">
        <v>59</v>
      </c>
      <c r="B48" s="5" t="s">
        <v>229</v>
      </c>
      <c r="D48" s="11"/>
    </row>
    <row r="49" spans="1:4" x14ac:dyDescent="0.2">
      <c r="A49" s="2" t="s">
        <v>60</v>
      </c>
      <c r="B49" s="5" t="s">
        <v>275</v>
      </c>
      <c r="D49" s="11"/>
    </row>
    <row r="50" spans="1:4" x14ac:dyDescent="0.2">
      <c r="A50" s="2" t="s">
        <v>61</v>
      </c>
      <c r="B50" s="5" t="s">
        <v>38</v>
      </c>
      <c r="D50" s="11"/>
    </row>
    <row r="51" spans="1:4" x14ac:dyDescent="0.2">
      <c r="A51" s="2" t="s">
        <v>274</v>
      </c>
      <c r="B51" s="5" t="str">
        <f>Head3&amp;" Summary"</f>
        <v>2019/20 Medium Term Revenue &amp; Expenditure Framework Summary</v>
      </c>
      <c r="D51" s="11"/>
    </row>
    <row r="52" spans="1:4" x14ac:dyDescent="0.2">
      <c r="A52" s="2" t="s">
        <v>141</v>
      </c>
      <c r="B52" s="5" t="s">
        <v>144</v>
      </c>
      <c r="D52" s="11"/>
    </row>
    <row r="53" spans="1:4" x14ac:dyDescent="0.2">
      <c r="A53" s="2" t="s">
        <v>142</v>
      </c>
      <c r="B53" s="5" t="s">
        <v>143</v>
      </c>
      <c r="D53" s="11"/>
    </row>
    <row r="54" spans="1:4" x14ac:dyDescent="0.2">
      <c r="A54" s="2" t="s">
        <v>361</v>
      </c>
      <c r="B54" s="13" t="s">
        <v>29</v>
      </c>
      <c r="C54" s="14"/>
      <c r="D54" s="11"/>
    </row>
    <row r="55" spans="1:4" x14ac:dyDescent="0.2">
      <c r="A55" s="2" t="s">
        <v>163</v>
      </c>
      <c r="B55" s="5" t="s">
        <v>151</v>
      </c>
      <c r="D55" s="11"/>
    </row>
    <row r="56" spans="1:4" x14ac:dyDescent="0.2">
      <c r="A56" s="2" t="s">
        <v>107</v>
      </c>
      <c r="B56" s="5" t="s">
        <v>7</v>
      </c>
      <c r="D56" s="11"/>
    </row>
    <row r="57" spans="1:4" x14ac:dyDescent="0.2">
      <c r="A57" s="2" t="s">
        <v>155</v>
      </c>
      <c r="B57" s="5" t="s">
        <v>157</v>
      </c>
      <c r="D57" s="11"/>
    </row>
    <row r="58" spans="1:4" x14ac:dyDescent="0.2">
      <c r="A58" s="2" t="s">
        <v>156</v>
      </c>
      <c r="B58" s="5" t="s">
        <v>302</v>
      </c>
      <c r="D58" s="11"/>
    </row>
    <row r="59" spans="1:4" x14ac:dyDescent="0.2">
      <c r="A59" s="2" t="s">
        <v>297</v>
      </c>
      <c r="B59" s="5" t="s">
        <v>301</v>
      </c>
      <c r="D59" s="11"/>
    </row>
    <row r="60" spans="1:4" x14ac:dyDescent="0.2">
      <c r="A60" s="2" t="s">
        <v>298</v>
      </c>
      <c r="B60" s="5" t="s">
        <v>27</v>
      </c>
      <c r="D60" s="11"/>
    </row>
    <row r="61" spans="1:4" x14ac:dyDescent="0.2">
      <c r="A61" s="2" t="s">
        <v>299</v>
      </c>
      <c r="B61" s="5" t="s">
        <v>303</v>
      </c>
      <c r="D61" s="11"/>
    </row>
    <row r="62" spans="1:4" x14ac:dyDescent="0.2">
      <c r="A62" s="2" t="s">
        <v>300</v>
      </c>
      <c r="B62" s="5" t="s">
        <v>406</v>
      </c>
      <c r="D62" s="11"/>
    </row>
    <row r="63" spans="1:4" x14ac:dyDescent="0.2">
      <c r="A63" s="2" t="s">
        <v>182</v>
      </c>
      <c r="B63" s="5" t="s">
        <v>26</v>
      </c>
      <c r="D63" s="11"/>
    </row>
    <row r="64" spans="1:4" x14ac:dyDescent="0.2">
      <c r="A64" s="2" t="s">
        <v>282</v>
      </c>
      <c r="B64" s="5" t="s">
        <v>283</v>
      </c>
      <c r="D64" s="11"/>
    </row>
    <row r="65" spans="1:14" x14ac:dyDescent="0.2">
      <c r="A65" s="2" t="s">
        <v>226</v>
      </c>
      <c r="B65" s="5" t="s">
        <v>227</v>
      </c>
      <c r="D65" s="11"/>
    </row>
    <row r="66" spans="1:14" x14ac:dyDescent="0.2">
      <c r="A66" s="2" t="s">
        <v>411</v>
      </c>
      <c r="B66" s="5" t="s">
        <v>412</v>
      </c>
      <c r="D66" s="11"/>
    </row>
    <row r="67" spans="1:14" x14ac:dyDescent="0.2">
      <c r="A67" s="2" t="s">
        <v>413</v>
      </c>
      <c r="B67" s="5" t="s">
        <v>150</v>
      </c>
      <c r="D67" s="11"/>
    </row>
    <row r="68" spans="1:14" x14ac:dyDescent="0.2">
      <c r="A68" s="2" t="s">
        <v>323</v>
      </c>
      <c r="B68" s="5" t="s">
        <v>321</v>
      </c>
      <c r="D68" s="11"/>
    </row>
    <row r="69" spans="1:14" x14ac:dyDescent="0.2">
      <c r="A69" s="2" t="s">
        <v>324</v>
      </c>
      <c r="B69" s="5" t="s">
        <v>322</v>
      </c>
      <c r="D69" s="11"/>
    </row>
    <row r="70" spans="1:14" x14ac:dyDescent="0.2">
      <c r="A70" s="2" t="s">
        <v>325</v>
      </c>
      <c r="B70" s="5" t="s">
        <v>327</v>
      </c>
      <c r="D70" s="11"/>
    </row>
    <row r="71" spans="1:14" x14ac:dyDescent="0.2">
      <c r="A71" s="2" t="s">
        <v>326</v>
      </c>
      <c r="B71" s="5" t="s">
        <v>172</v>
      </c>
      <c r="D71" s="11"/>
    </row>
    <row r="72" spans="1:14" x14ac:dyDescent="0.2">
      <c r="A72" s="2" t="s">
        <v>173</v>
      </c>
      <c r="B72" s="5" t="s">
        <v>201</v>
      </c>
      <c r="D72" s="11"/>
    </row>
    <row r="73" spans="1:14" x14ac:dyDescent="0.2">
      <c r="A73" s="2" t="s">
        <v>174</v>
      </c>
      <c r="B73" s="5" t="s">
        <v>202</v>
      </c>
      <c r="D73" s="11"/>
    </row>
    <row r="74" spans="1:14" x14ac:dyDescent="0.2">
      <c r="A74" s="2" t="s">
        <v>204</v>
      </c>
      <c r="B74" s="5" t="s">
        <v>203</v>
      </c>
      <c r="D74" s="11"/>
    </row>
    <row r="75" spans="1:14" ht="12.75" x14ac:dyDescent="0.2">
      <c r="A75" s="514" t="s">
        <v>248</v>
      </c>
      <c r="B75" s="515"/>
      <c r="C75" s="515"/>
      <c r="D75" s="516"/>
      <c r="E75"/>
      <c r="F75"/>
      <c r="G75"/>
      <c r="H75"/>
      <c r="I75"/>
      <c r="J75"/>
      <c r="K75"/>
      <c r="L75"/>
      <c r="M75"/>
      <c r="N75"/>
    </row>
    <row r="76" spans="1:14" ht="12.75" x14ac:dyDescent="0.2">
      <c r="A76" s="150" t="s">
        <v>175</v>
      </c>
      <c r="B76" s="151" t="s">
        <v>1172</v>
      </c>
      <c r="C76" s="151"/>
      <c r="D76" s="16"/>
      <c r="E76"/>
      <c r="F76"/>
      <c r="G76"/>
      <c r="H76"/>
      <c r="I76"/>
      <c r="J76"/>
      <c r="K76"/>
      <c r="L76"/>
      <c r="M76"/>
      <c r="N76"/>
    </row>
    <row r="77" spans="1:14" ht="12.75" x14ac:dyDescent="0.2">
      <c r="A77" s="10" t="s">
        <v>55</v>
      </c>
      <c r="B77" s="7"/>
      <c r="C77" s="7"/>
      <c r="D77" s="12"/>
      <c r="E77"/>
      <c r="F77"/>
      <c r="G77"/>
      <c r="H77"/>
      <c r="I77"/>
      <c r="J77"/>
      <c r="K77"/>
      <c r="L77"/>
      <c r="M77"/>
      <c r="N77"/>
    </row>
    <row r="78" spans="1:14" x14ac:dyDescent="0.2">
      <c r="A78" s="517" t="s">
        <v>169</v>
      </c>
      <c r="B78" s="518"/>
      <c r="C78" s="15"/>
      <c r="D78" s="15" t="s">
        <v>421</v>
      </c>
    </row>
    <row r="79" spans="1:14" x14ac:dyDescent="0.2">
      <c r="A79" s="9"/>
      <c r="B79" s="4" t="s">
        <v>244</v>
      </c>
      <c r="C79" s="4"/>
      <c r="D79" s="11"/>
    </row>
    <row r="80" spans="1:14" x14ac:dyDescent="0.2">
      <c r="A80" s="150" t="s">
        <v>184</v>
      </c>
      <c r="B80" s="151" t="str">
        <f>entity&amp;" - "&amp;D80&amp;"Budget Summary"</f>
        <v>Harry Gwala Development Agency (Pty) Ltd - Table D1 Budget Summary</v>
      </c>
      <c r="C80" s="151"/>
      <c r="D80" s="16" t="s">
        <v>494</v>
      </c>
    </row>
    <row r="81" spans="1:4" x14ac:dyDescent="0.2">
      <c r="A81" s="9" t="s">
        <v>194</v>
      </c>
      <c r="B81" s="1" t="str">
        <f>entity&amp;" - "&amp;D81&amp;"Budgeted Financial Performance (revenue and expenditure)"</f>
        <v>Harry Gwala Development Agency (Pty) Ltd - Table D2 Budgeted Financial Performance (revenue and expenditure)</v>
      </c>
      <c r="D81" s="11" t="s">
        <v>495</v>
      </c>
    </row>
    <row r="82" spans="1:4" x14ac:dyDescent="0.2">
      <c r="A82" s="9" t="s">
        <v>416</v>
      </c>
      <c r="B82" s="1" t="s">
        <v>420</v>
      </c>
      <c r="D82" s="11"/>
    </row>
    <row r="83" spans="1:4" x14ac:dyDescent="0.2">
      <c r="A83" s="9" t="s">
        <v>195</v>
      </c>
      <c r="B83" s="1" t="str">
        <f>entity&amp;" - "&amp;D83&amp;"Capital Budget by asset class and funding"</f>
        <v>Harry Gwala Development Agency (Pty) Ltd - Table D3 Capital Budget by asset class and funding</v>
      </c>
      <c r="D83" s="11" t="s">
        <v>496</v>
      </c>
    </row>
    <row r="84" spans="1:4" x14ac:dyDescent="0.2">
      <c r="A84" s="9" t="s">
        <v>196</v>
      </c>
      <c r="B84" s="1" t="str">
        <f>entity&amp;" - "&amp;D84&amp; "Budgeted Financial Position"</f>
        <v>Harry Gwala Development Agency (Pty) Ltd - Table D4 Budgeted Financial Position</v>
      </c>
      <c r="D84" s="11" t="s">
        <v>497</v>
      </c>
    </row>
    <row r="85" spans="1:4" x14ac:dyDescent="0.2">
      <c r="A85" s="10" t="s">
        <v>197</v>
      </c>
      <c r="B85" s="7" t="str">
        <f>entity&amp;" - "&amp;D85&amp; "Budgeted Cash Flow"</f>
        <v>Harry Gwala Development Agency (Pty) Ltd - Table D5 Budgeted Cash Flow</v>
      </c>
      <c r="C85" s="7"/>
      <c r="D85" s="12" t="s">
        <v>498</v>
      </c>
    </row>
    <row r="86" spans="1:4" x14ac:dyDescent="0.2">
      <c r="A86" s="9" t="s">
        <v>199</v>
      </c>
      <c r="B86" s="1" t="str">
        <f>entity&amp;" - "&amp;D86&amp;"Measurable performance targets"</f>
        <v>Harry Gwala Development Agency (Pty) Ltd - Supporting Table SD1 Measurable performance targets</v>
      </c>
      <c r="D86" s="11" t="s">
        <v>552</v>
      </c>
    </row>
    <row r="87" spans="1:4" x14ac:dyDescent="0.2">
      <c r="A87" s="9" t="s">
        <v>222</v>
      </c>
      <c r="B87" s="1" t="str">
        <f>entity&amp;" - "&amp;D87&amp; " Financial and non-financial indicators"</f>
        <v>Harry Gwala Development Agency (Pty) Ltd - Supporting Table SD2 Financial and non-financial indicators</v>
      </c>
      <c r="D87" s="11" t="s">
        <v>553</v>
      </c>
    </row>
    <row r="88" spans="1:4" x14ac:dyDescent="0.2">
      <c r="A88" s="9" t="s">
        <v>198</v>
      </c>
      <c r="B88" s="1" t="str">
        <f>entity&amp;" - "&amp;D88&amp;" Budgeted Investment Portfolio"</f>
        <v>Harry Gwala Development Agency (Pty) Ltd - Supporting Table SD3 Budgeted Investment Portfolio</v>
      </c>
      <c r="D88" s="11" t="s">
        <v>554</v>
      </c>
    </row>
    <row r="89" spans="1:4" x14ac:dyDescent="0.2">
      <c r="A89" s="9" t="s">
        <v>774</v>
      </c>
      <c r="B89" s="1" t="str">
        <f>entity&amp;" - "&amp;D89&amp;" Board member allowances and staff benefits"</f>
        <v>Harry Gwala Development Agency (Pty) Ltd - Supporting Table SD4 Board member allowances and staff benefits</v>
      </c>
      <c r="D89" s="11" t="s">
        <v>555</v>
      </c>
    </row>
    <row r="90" spans="1:4" x14ac:dyDescent="0.2">
      <c r="A90" s="9" t="s">
        <v>775</v>
      </c>
      <c r="B90" s="1" t="str">
        <f>entity&amp;" - "&amp;D90&amp;" Summary of personnel numbers"</f>
        <v>Harry Gwala Development Agency (Pty) Ltd - Supporting Table SD5 Summary of personnel numbers</v>
      </c>
      <c r="D90" s="11" t="s">
        <v>556</v>
      </c>
    </row>
    <row r="91" spans="1:4" x14ac:dyDescent="0.2">
      <c r="A91" s="9" t="s">
        <v>337</v>
      </c>
      <c r="B91" s="1" t="str">
        <f>entity&amp;" - "&amp;D91&amp;" Budgeted monthly cash and revenue/expenditure"</f>
        <v>Harry Gwala Development Agency (Pty) Ltd - Supporting Table SD6 Budgeted monthly cash and revenue/expenditure</v>
      </c>
      <c r="D91" s="11" t="s">
        <v>557</v>
      </c>
    </row>
    <row r="92" spans="1:4" x14ac:dyDescent="0.2">
      <c r="A92" s="9" t="s">
        <v>776</v>
      </c>
      <c r="B92" s="1" t="str">
        <f>entity&amp;" - "&amp;D92&amp;" Capital expenditure on new assets by asset class"</f>
        <v>Harry Gwala Development Agency (Pty) Ltd - Supporting Table SD7a Capital expenditure on new assets by asset class</v>
      </c>
      <c r="D92" s="11" t="s">
        <v>781</v>
      </c>
    </row>
    <row r="93" spans="1:4" x14ac:dyDescent="0.2">
      <c r="A93" s="9" t="s">
        <v>777</v>
      </c>
      <c r="B93" s="1" t="str">
        <f>entity&amp;" - "&amp;D93&amp;" Capital expenditure on renewal of existing assets by asset class"</f>
        <v>Harry Gwala Development Agency (Pty) Ltd - Supporting Table SD7b Capital expenditure on renewal of existing assets by asset class</v>
      </c>
      <c r="D93" s="11" t="s">
        <v>782</v>
      </c>
    </row>
    <row r="94" spans="1:4" x14ac:dyDescent="0.2">
      <c r="A94" s="9" t="s">
        <v>778</v>
      </c>
      <c r="B94" s="1" t="str">
        <f>entity&amp;" - "&amp;D94&amp;" Expenditure on repairs and maintenance by asset class"</f>
        <v>Harry Gwala Development Agency (Pty) Ltd - Supporting Table SD7c Expenditure on repairs and maintenance by asset class</v>
      </c>
      <c r="D94" s="11" t="s">
        <v>783</v>
      </c>
    </row>
    <row r="95" spans="1:4" x14ac:dyDescent="0.2">
      <c r="A95" s="381" t="s">
        <v>975</v>
      </c>
      <c r="B95" s="1" t="str">
        <f>entity&amp;" - "&amp;D95&amp;" Depreciation by asset class"</f>
        <v>Harry Gwala Development Agency (Pty) Ltd - Supporting Table SD7d Depreciation by asset class</v>
      </c>
      <c r="D95" s="382" t="s">
        <v>977</v>
      </c>
    </row>
    <row r="96" spans="1:4" x14ac:dyDescent="0.2">
      <c r="A96" s="381" t="s">
        <v>976</v>
      </c>
      <c r="B96" s="1" t="str">
        <f>entity&amp;" - "&amp;D96&amp;" Capital expenditure on upgrading of existing assets by asset class"</f>
        <v>Harry Gwala Development Agency (Pty) Ltd - Supporting Table SD7e Capital expenditure on upgrading of existing assets by asset class</v>
      </c>
      <c r="D96" s="382" t="s">
        <v>978</v>
      </c>
    </row>
    <row r="97" spans="1:4" x14ac:dyDescent="0.2">
      <c r="A97" s="9" t="s">
        <v>779</v>
      </c>
      <c r="B97" s="1" t="str">
        <f>entity&amp;" - "&amp;D97&amp;" Future financial implications of the capital expenditure budget"</f>
        <v>Harry Gwala Development Agency (Pty) Ltd - Supporting Table SD8 Future financial implications of the capital expenditure budget</v>
      </c>
      <c r="D97" s="11" t="s">
        <v>784</v>
      </c>
    </row>
    <row r="98" spans="1:4" x14ac:dyDescent="0.2">
      <c r="A98" s="9" t="s">
        <v>780</v>
      </c>
      <c r="B98" s="1" t="str">
        <f>entity&amp;" - "&amp;D98&amp;" Detailed capital budget"</f>
        <v>Harry Gwala Development Agency (Pty) Ltd - Supporting Table SD9 Detailed capital budget</v>
      </c>
      <c r="D98" s="11" t="s">
        <v>558</v>
      </c>
    </row>
    <row r="99" spans="1:4" x14ac:dyDescent="0.2">
      <c r="A99" s="9" t="s">
        <v>389</v>
      </c>
      <c r="B99" s="1" t="str">
        <f>entity&amp;" - "&amp;D99&amp;" Long term contracts"</f>
        <v>Harry Gwala Development Agency (Pty) Ltd - Supporting Table SD10 Long term contracts</v>
      </c>
      <c r="D99" s="11" t="s">
        <v>559</v>
      </c>
    </row>
    <row r="100" spans="1:4" x14ac:dyDescent="0.2">
      <c r="A100" s="10" t="s">
        <v>390</v>
      </c>
      <c r="B100" s="7" t="str">
        <f>entity&amp;" - "&amp;D100&amp;" External mechanisms"</f>
        <v>Harry Gwala Development Agency (Pty) Ltd - Supporting Table SD11 External mechanisms</v>
      </c>
      <c r="C100" s="7"/>
      <c r="D100" s="11" t="s">
        <v>560</v>
      </c>
    </row>
    <row r="101" spans="1:4" x14ac:dyDescent="0.2">
      <c r="A101" s="1"/>
    </row>
    <row r="102" spans="1:4" x14ac:dyDescent="0.2">
      <c r="A102" s="1"/>
    </row>
    <row r="103" spans="1:4" x14ac:dyDescent="0.2">
      <c r="A103" s="1"/>
    </row>
    <row r="104" spans="1:4" x14ac:dyDescent="0.2">
      <c r="D104" s="3"/>
    </row>
  </sheetData>
  <sheetProtection selectLockedCells="1"/>
  <mergeCells count="3">
    <mergeCell ref="A1:D1"/>
    <mergeCell ref="A75:D75"/>
    <mergeCell ref="A78:B78"/>
  </mergeCells>
  <phoneticPr fontId="2" type="noConversion"/>
  <printOptions horizontalCentered="1" verticalCentered="1"/>
  <pageMargins left="0.39370078740157483" right="0.15748031496062992" top="0.51181102362204722" bottom="0.55118110236220474" header="0.51181102362204722" footer="0.39370078740157483"/>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SaveForUsers">
                <anchor moveWithCells="1" sizeWithCells="1">
                  <from>
                    <xdr:col>2</xdr:col>
                    <xdr:colOff>685800</xdr:colOff>
                    <xdr:row>1</xdr:row>
                    <xdr:rowOff>95250</xdr:rowOff>
                  </from>
                  <to>
                    <xdr:col>2</xdr:col>
                    <xdr:colOff>1885950</xdr:colOff>
                    <xdr:row>3</xdr:row>
                    <xdr:rowOff>9525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4">
    <tabColor rgb="FFCCFFCC"/>
    <pageSetUpPr fitToPage="1"/>
  </sheetPr>
  <dimension ref="A1:L205"/>
  <sheetViews>
    <sheetView showGridLines="0" zoomScaleNormal="100" workbookViewId="0">
      <pane xSplit="2" ySplit="3" topLeftCell="C52" activePane="bottomRight" state="frozen"/>
      <selection activeCell="A23" sqref="A23"/>
      <selection pane="topRight" activeCell="A23" sqref="A23"/>
      <selection pane="bottomLeft" activeCell="A23" sqref="A23"/>
      <selection pane="bottomRight" activeCell="I167" sqref="I167"/>
    </sheetView>
  </sheetViews>
  <sheetFormatPr defaultColWidth="9.140625" defaultRowHeight="12.75" x14ac:dyDescent="0.25"/>
  <cols>
    <col min="1" max="1" width="35.7109375" style="17" customWidth="1"/>
    <col min="2" max="2" width="3.140625" style="32" customWidth="1"/>
    <col min="3" max="11" width="8.7109375" style="17" customWidth="1"/>
    <col min="12" max="12" width="9.85546875" style="17" customWidth="1"/>
    <col min="13" max="13" width="9.5703125" style="17" customWidth="1"/>
    <col min="14" max="14" width="9.85546875" style="17" customWidth="1"/>
    <col min="15" max="17" width="9.5703125" style="17" customWidth="1"/>
    <col min="18" max="18" width="9.85546875" style="17" customWidth="1"/>
    <col min="19" max="21" width="9.5703125" style="17" customWidth="1"/>
    <col min="22" max="23" width="9.85546875" style="17" customWidth="1"/>
    <col min="24" max="16384" width="9.140625" style="17"/>
  </cols>
  <sheetData>
    <row r="1" spans="1:12" ht="13.5" x14ac:dyDescent="0.25">
      <c r="A1" s="88" t="str">
        <f>MEB9d</f>
        <v>Harry Gwala Development Agency (Pty) Ltd - Supporting Table SD7d Depreciation by asset class</v>
      </c>
    </row>
    <row r="2" spans="1:12" ht="25.5" x14ac:dyDescent="0.25">
      <c r="A2" s="343" t="str">
        <f>desc</f>
        <v>Description</v>
      </c>
      <c r="B2" s="344" t="str">
        <f>head27</f>
        <v>Ref</v>
      </c>
      <c r="C2" s="85" t="str">
        <f>head1b</f>
        <v>2015/16</v>
      </c>
      <c r="D2" s="18" t="str">
        <f>head1A</f>
        <v>2016/17</v>
      </c>
      <c r="E2" s="80" t="str">
        <f>Head1</f>
        <v>2017/18</v>
      </c>
      <c r="F2" s="106" t="str">
        <f>Head2</f>
        <v>Current Year 2018/19</v>
      </c>
      <c r="G2" s="104"/>
      <c r="H2" s="105"/>
      <c r="I2" s="106" t="str">
        <f>Head3a</f>
        <v>Medium Term Revenue and Expenditure Framework</v>
      </c>
      <c r="J2" s="104"/>
      <c r="K2" s="105"/>
    </row>
    <row r="3" spans="1:12" ht="38.25" x14ac:dyDescent="0.25">
      <c r="A3" s="306" t="s">
        <v>826</v>
      </c>
      <c r="B3" s="251">
        <v>1</v>
      </c>
      <c r="C3" s="252" t="str">
        <f>Head5</f>
        <v>Audited Outcome</v>
      </c>
      <c r="D3" s="253" t="str">
        <f>Head5</f>
        <v>Audited Outcome</v>
      </c>
      <c r="E3" s="254" t="str">
        <f>Head5</f>
        <v>Audited Outcome</v>
      </c>
      <c r="F3" s="341" t="str">
        <f>Head6</f>
        <v>Original Budget</v>
      </c>
      <c r="G3" s="252" t="str">
        <f>Head7</f>
        <v>Adjusted Budget</v>
      </c>
      <c r="H3" s="342" t="str">
        <f>Head8</f>
        <v>Full Year Forecast</v>
      </c>
      <c r="I3" s="341" t="str">
        <f>Head9</f>
        <v>Budget Year 2019/20</v>
      </c>
      <c r="J3" s="252" t="str">
        <f>Head10</f>
        <v>Budget Year +1 2020/21</v>
      </c>
      <c r="K3" s="254" t="str">
        <f>Head11</f>
        <v>Budget Year +2 2021/22</v>
      </c>
    </row>
    <row r="4" spans="1:12" ht="12.75" customHeight="1" x14ac:dyDescent="0.25">
      <c r="A4" s="211" t="s">
        <v>973</v>
      </c>
      <c r="B4" s="345"/>
      <c r="C4" s="24"/>
      <c r="D4" s="23"/>
      <c r="E4" s="83"/>
      <c r="F4" s="24"/>
      <c r="G4" s="23"/>
      <c r="H4" s="83"/>
      <c r="I4" s="24"/>
      <c r="J4" s="23"/>
      <c r="K4" s="83"/>
    </row>
    <row r="5" spans="1:12" ht="5.0999999999999996" customHeight="1" x14ac:dyDescent="0.25">
      <c r="A5" s="19"/>
      <c r="B5" s="345"/>
      <c r="C5" s="24"/>
      <c r="D5" s="23"/>
      <c r="E5" s="83"/>
      <c r="F5" s="24"/>
      <c r="G5" s="23"/>
      <c r="H5" s="83"/>
      <c r="I5" s="24"/>
      <c r="J5" s="23"/>
      <c r="K5" s="83"/>
    </row>
    <row r="6" spans="1:12" ht="13.15" customHeight="1" x14ac:dyDescent="0.25">
      <c r="A6" s="19" t="s">
        <v>162</v>
      </c>
      <c r="B6" s="237"/>
      <c r="C6" s="26">
        <f>C7+C12+C16+C26+C37+C44+C52+C62+C68</f>
        <v>0</v>
      </c>
      <c r="D6" s="26">
        <f t="shared" ref="D6:K6" si="0">D7+D12+D16+D26+D37+D44+D52+D62+D68</f>
        <v>0</v>
      </c>
      <c r="E6" s="233">
        <f t="shared" si="0"/>
        <v>0</v>
      </c>
      <c r="F6" s="232">
        <f t="shared" si="0"/>
        <v>0</v>
      </c>
      <c r="G6" s="26">
        <f t="shared" si="0"/>
        <v>0</v>
      </c>
      <c r="H6" s="25">
        <f t="shared" si="0"/>
        <v>0</v>
      </c>
      <c r="I6" s="232">
        <f t="shared" si="0"/>
        <v>0</v>
      </c>
      <c r="J6" s="26">
        <f t="shared" si="0"/>
        <v>0</v>
      </c>
      <c r="K6" s="233">
        <f t="shared" si="0"/>
        <v>0</v>
      </c>
    </row>
    <row r="7" spans="1:12" s="352" customFormat="1" ht="13.15" customHeight="1" x14ac:dyDescent="0.25">
      <c r="A7" s="20" t="s">
        <v>858</v>
      </c>
      <c r="B7" s="237"/>
      <c r="C7" s="48">
        <f t="shared" ref="C7:K7" si="1">SUM(C8:C11)</f>
        <v>0</v>
      </c>
      <c r="D7" s="48">
        <f t="shared" si="1"/>
        <v>0</v>
      </c>
      <c r="E7" s="317">
        <f t="shared" si="1"/>
        <v>0</v>
      </c>
      <c r="F7" s="49">
        <f t="shared" si="1"/>
        <v>0</v>
      </c>
      <c r="G7" s="48">
        <f t="shared" si="1"/>
        <v>0</v>
      </c>
      <c r="H7" s="100">
        <f t="shared" si="1"/>
        <v>0</v>
      </c>
      <c r="I7" s="49">
        <f t="shared" si="1"/>
        <v>0</v>
      </c>
      <c r="J7" s="48">
        <f t="shared" si="1"/>
        <v>0</v>
      </c>
      <c r="K7" s="100">
        <f t="shared" si="1"/>
        <v>0</v>
      </c>
      <c r="L7" s="17"/>
    </row>
    <row r="8" spans="1:12" s="352" customFormat="1" ht="13.15" customHeight="1" x14ac:dyDescent="0.25">
      <c r="A8" s="238" t="s">
        <v>510</v>
      </c>
      <c r="B8" s="237"/>
      <c r="C8" s="354"/>
      <c r="D8" s="354"/>
      <c r="E8" s="355"/>
      <c r="F8" s="356"/>
      <c r="G8" s="354"/>
      <c r="H8" s="357"/>
      <c r="I8" s="356"/>
      <c r="J8" s="354"/>
      <c r="K8" s="355"/>
      <c r="L8" s="17"/>
    </row>
    <row r="9" spans="1:12" s="352" customFormat="1" ht="13.15" customHeight="1" x14ac:dyDescent="0.25">
      <c r="A9" s="238" t="s">
        <v>859</v>
      </c>
      <c r="B9" s="237"/>
      <c r="C9" s="354"/>
      <c r="D9" s="354"/>
      <c r="E9" s="355"/>
      <c r="F9" s="356"/>
      <c r="G9" s="354"/>
      <c r="H9" s="357"/>
      <c r="I9" s="356"/>
      <c r="J9" s="354"/>
      <c r="K9" s="355"/>
      <c r="L9" s="358"/>
    </row>
    <row r="10" spans="1:12" s="352" customFormat="1" ht="13.15" customHeight="1" x14ac:dyDescent="0.25">
      <c r="A10" s="238" t="s">
        <v>860</v>
      </c>
      <c r="B10" s="237"/>
      <c r="C10" s="354"/>
      <c r="D10" s="354"/>
      <c r="E10" s="355"/>
      <c r="F10" s="356"/>
      <c r="G10" s="354"/>
      <c r="H10" s="357"/>
      <c r="I10" s="356"/>
      <c r="J10" s="354"/>
      <c r="K10" s="355"/>
      <c r="L10" s="358"/>
    </row>
    <row r="11" spans="1:12" s="352" customFormat="1" ht="13.15" customHeight="1" x14ac:dyDescent="0.25">
      <c r="A11" s="238" t="s">
        <v>861</v>
      </c>
      <c r="B11" s="237"/>
      <c r="C11" s="354"/>
      <c r="D11" s="354"/>
      <c r="E11" s="355"/>
      <c r="F11" s="356"/>
      <c r="G11" s="354"/>
      <c r="H11" s="357"/>
      <c r="I11" s="356"/>
      <c r="J11" s="354"/>
      <c r="K11" s="355"/>
      <c r="L11" s="358"/>
    </row>
    <row r="12" spans="1:12" s="352" customFormat="1" ht="13.15" customHeight="1" x14ac:dyDescent="0.25">
      <c r="A12" s="20" t="s">
        <v>862</v>
      </c>
      <c r="B12" s="237"/>
      <c r="C12" s="23">
        <f>SUM(C13:C15)</f>
        <v>0</v>
      </c>
      <c r="D12" s="23">
        <f t="shared" ref="D12:K12" si="2">SUM(D13:D15)</f>
        <v>0</v>
      </c>
      <c r="E12" s="50">
        <f t="shared" si="2"/>
        <v>0</v>
      </c>
      <c r="F12" s="24">
        <f t="shared" si="2"/>
        <v>0</v>
      </c>
      <c r="G12" s="23">
        <f t="shared" si="2"/>
        <v>0</v>
      </c>
      <c r="H12" s="83">
        <f t="shared" si="2"/>
        <v>0</v>
      </c>
      <c r="I12" s="319">
        <f t="shared" si="2"/>
        <v>0</v>
      </c>
      <c r="J12" s="23">
        <f t="shared" si="2"/>
        <v>0</v>
      </c>
      <c r="K12" s="83">
        <f t="shared" si="2"/>
        <v>0</v>
      </c>
      <c r="L12" s="358"/>
    </row>
    <row r="13" spans="1:12" s="352" customFormat="1" ht="13.15" customHeight="1" x14ac:dyDescent="0.25">
      <c r="A13" s="238" t="s">
        <v>863</v>
      </c>
      <c r="B13" s="237"/>
      <c r="C13" s="354"/>
      <c r="D13" s="354"/>
      <c r="E13" s="359"/>
      <c r="F13" s="360"/>
      <c r="G13" s="354"/>
      <c r="H13" s="361"/>
      <c r="I13" s="362"/>
      <c r="J13" s="354"/>
      <c r="K13" s="361"/>
      <c r="L13" s="358"/>
    </row>
    <row r="14" spans="1:12" s="352" customFormat="1" ht="13.15" customHeight="1" x14ac:dyDescent="0.25">
      <c r="A14" s="238" t="s">
        <v>864</v>
      </c>
      <c r="B14" s="237"/>
      <c r="C14" s="354"/>
      <c r="D14" s="354"/>
      <c r="E14" s="359"/>
      <c r="F14" s="360"/>
      <c r="G14" s="354"/>
      <c r="H14" s="361"/>
      <c r="I14" s="362"/>
      <c r="J14" s="354"/>
      <c r="K14" s="361"/>
      <c r="L14" s="358"/>
    </row>
    <row r="15" spans="1:12" s="352" customFormat="1" ht="13.15" customHeight="1" x14ac:dyDescent="0.25">
      <c r="A15" s="238" t="s">
        <v>865</v>
      </c>
      <c r="B15" s="237"/>
      <c r="C15" s="354"/>
      <c r="D15" s="354"/>
      <c r="E15" s="359"/>
      <c r="F15" s="360"/>
      <c r="G15" s="354"/>
      <c r="H15" s="361"/>
      <c r="I15" s="362"/>
      <c r="J15" s="354"/>
      <c r="K15" s="361"/>
      <c r="L15" s="358"/>
    </row>
    <row r="16" spans="1:12" s="352" customFormat="1" ht="13.15" customHeight="1" x14ac:dyDescent="0.25">
      <c r="A16" s="20" t="s">
        <v>866</v>
      </c>
      <c r="B16" s="237"/>
      <c r="C16" s="23">
        <f t="shared" ref="C16:K16" si="3">SUM(C17:C25)</f>
        <v>0</v>
      </c>
      <c r="D16" s="23">
        <f t="shared" si="3"/>
        <v>0</v>
      </c>
      <c r="E16" s="50">
        <f t="shared" si="3"/>
        <v>0</v>
      </c>
      <c r="F16" s="24">
        <f t="shared" si="3"/>
        <v>0</v>
      </c>
      <c r="G16" s="23">
        <f t="shared" si="3"/>
        <v>0</v>
      </c>
      <c r="H16" s="83">
        <f t="shared" si="3"/>
        <v>0</v>
      </c>
      <c r="I16" s="319">
        <f t="shared" si="3"/>
        <v>0</v>
      </c>
      <c r="J16" s="23">
        <f t="shared" si="3"/>
        <v>0</v>
      </c>
      <c r="K16" s="83">
        <f t="shared" si="3"/>
        <v>0</v>
      </c>
      <c r="L16" s="358"/>
    </row>
    <row r="17" spans="1:12" s="352" customFormat="1" ht="13.15" customHeight="1" x14ac:dyDescent="0.25">
      <c r="A17" s="238" t="s">
        <v>867</v>
      </c>
      <c r="B17" s="237"/>
      <c r="C17" s="354"/>
      <c r="D17" s="354"/>
      <c r="E17" s="359"/>
      <c r="F17" s="360"/>
      <c r="G17" s="354"/>
      <c r="H17" s="361"/>
      <c r="I17" s="362"/>
      <c r="J17" s="354"/>
      <c r="K17" s="361"/>
      <c r="L17" s="358"/>
    </row>
    <row r="18" spans="1:12" s="352" customFormat="1" ht="13.15" customHeight="1" x14ac:dyDescent="0.25">
      <c r="A18" s="238" t="s">
        <v>868</v>
      </c>
      <c r="B18" s="237"/>
      <c r="C18" s="354"/>
      <c r="D18" s="354"/>
      <c r="E18" s="359"/>
      <c r="F18" s="360"/>
      <c r="G18" s="354"/>
      <c r="H18" s="361"/>
      <c r="I18" s="362"/>
      <c r="J18" s="354"/>
      <c r="K18" s="361"/>
      <c r="L18" s="358"/>
    </row>
    <row r="19" spans="1:12" s="352" customFormat="1" ht="13.15" customHeight="1" x14ac:dyDescent="0.25">
      <c r="A19" s="238" t="s">
        <v>869</v>
      </c>
      <c r="B19" s="237"/>
      <c r="C19" s="354"/>
      <c r="D19" s="354"/>
      <c r="E19" s="359"/>
      <c r="F19" s="360"/>
      <c r="G19" s="354"/>
      <c r="H19" s="361"/>
      <c r="I19" s="362"/>
      <c r="J19" s="354"/>
      <c r="K19" s="361"/>
      <c r="L19" s="358"/>
    </row>
    <row r="20" spans="1:12" s="352" customFormat="1" ht="13.15" customHeight="1" x14ac:dyDescent="0.25">
      <c r="A20" s="238" t="s">
        <v>870</v>
      </c>
      <c r="B20" s="237"/>
      <c r="C20" s="354"/>
      <c r="D20" s="354"/>
      <c r="E20" s="359"/>
      <c r="F20" s="360"/>
      <c r="G20" s="354"/>
      <c r="H20" s="361"/>
      <c r="I20" s="362"/>
      <c r="J20" s="354"/>
      <c r="K20" s="361"/>
      <c r="L20" s="358"/>
    </row>
    <row r="21" spans="1:12" s="352" customFormat="1" ht="13.15" customHeight="1" x14ac:dyDescent="0.25">
      <c r="A21" s="238" t="s">
        <v>871</v>
      </c>
      <c r="B21" s="237"/>
      <c r="C21" s="354"/>
      <c r="D21" s="354"/>
      <c r="E21" s="359"/>
      <c r="F21" s="360"/>
      <c r="G21" s="354"/>
      <c r="H21" s="361"/>
      <c r="I21" s="362"/>
      <c r="J21" s="354"/>
      <c r="K21" s="361"/>
      <c r="L21" s="358"/>
    </row>
    <row r="22" spans="1:12" s="352" customFormat="1" ht="13.15" customHeight="1" x14ac:dyDescent="0.25">
      <c r="A22" s="238" t="s">
        <v>872</v>
      </c>
      <c r="B22" s="237"/>
      <c r="C22" s="354"/>
      <c r="D22" s="354"/>
      <c r="E22" s="359"/>
      <c r="F22" s="360"/>
      <c r="G22" s="354"/>
      <c r="H22" s="361"/>
      <c r="I22" s="362"/>
      <c r="J22" s="354"/>
      <c r="K22" s="361"/>
      <c r="L22" s="17"/>
    </row>
    <row r="23" spans="1:12" s="352" customFormat="1" ht="13.15" customHeight="1" x14ac:dyDescent="0.25">
      <c r="A23" s="238" t="s">
        <v>873</v>
      </c>
      <c r="B23" s="237"/>
      <c r="C23" s="354"/>
      <c r="D23" s="354"/>
      <c r="E23" s="359"/>
      <c r="F23" s="360"/>
      <c r="G23" s="354"/>
      <c r="H23" s="361"/>
      <c r="I23" s="362"/>
      <c r="J23" s="354"/>
      <c r="K23" s="361"/>
      <c r="L23" s="358"/>
    </row>
    <row r="24" spans="1:12" s="352" customFormat="1" ht="13.15" customHeight="1" x14ac:dyDescent="0.25">
      <c r="A24" s="238" t="s">
        <v>874</v>
      </c>
      <c r="B24" s="237"/>
      <c r="C24" s="354"/>
      <c r="D24" s="354"/>
      <c r="E24" s="359"/>
      <c r="F24" s="360"/>
      <c r="G24" s="354"/>
      <c r="H24" s="361"/>
      <c r="I24" s="362"/>
      <c r="J24" s="354"/>
      <c r="K24" s="361"/>
      <c r="L24" s="358"/>
    </row>
    <row r="25" spans="1:12" s="352" customFormat="1" ht="13.15" customHeight="1" x14ac:dyDescent="0.25">
      <c r="A25" s="238" t="s">
        <v>861</v>
      </c>
      <c r="B25" s="237"/>
      <c r="C25" s="354"/>
      <c r="D25" s="354"/>
      <c r="E25" s="359"/>
      <c r="F25" s="360"/>
      <c r="G25" s="354"/>
      <c r="H25" s="361"/>
      <c r="I25" s="362"/>
      <c r="J25" s="354"/>
      <c r="K25" s="361"/>
      <c r="L25" s="358"/>
    </row>
    <row r="26" spans="1:12" ht="13.15" customHeight="1" x14ac:dyDescent="0.25">
      <c r="A26" s="20" t="s">
        <v>875</v>
      </c>
      <c r="B26" s="237"/>
      <c r="C26" s="23">
        <f>SUM(C27:C36)</f>
        <v>0</v>
      </c>
      <c r="D26" s="23">
        <f t="shared" ref="D26:K26" si="4">SUM(D27:D36)</f>
        <v>0</v>
      </c>
      <c r="E26" s="50">
        <f t="shared" si="4"/>
        <v>0</v>
      </c>
      <c r="F26" s="24">
        <f t="shared" si="4"/>
        <v>0</v>
      </c>
      <c r="G26" s="23">
        <f t="shared" si="4"/>
        <v>0</v>
      </c>
      <c r="H26" s="83">
        <f t="shared" si="4"/>
        <v>0</v>
      </c>
      <c r="I26" s="319">
        <f t="shared" si="4"/>
        <v>0</v>
      </c>
      <c r="J26" s="23">
        <f t="shared" si="4"/>
        <v>0</v>
      </c>
      <c r="K26" s="83">
        <f t="shared" si="4"/>
        <v>0</v>
      </c>
    </row>
    <row r="27" spans="1:12" ht="13.15" customHeight="1" x14ac:dyDescent="0.25">
      <c r="A27" s="238" t="s">
        <v>876</v>
      </c>
      <c r="B27" s="237"/>
      <c r="C27" s="354"/>
      <c r="D27" s="354"/>
      <c r="E27" s="359"/>
      <c r="F27" s="360"/>
      <c r="G27" s="354"/>
      <c r="H27" s="361"/>
      <c r="I27" s="362"/>
      <c r="J27" s="354"/>
      <c r="K27" s="361"/>
    </row>
    <row r="28" spans="1:12" ht="13.15" customHeight="1" x14ac:dyDescent="0.25">
      <c r="A28" s="238" t="s">
        <v>877</v>
      </c>
      <c r="B28" s="237"/>
      <c r="C28" s="354"/>
      <c r="D28" s="354"/>
      <c r="E28" s="359"/>
      <c r="F28" s="360"/>
      <c r="G28" s="354"/>
      <c r="H28" s="361"/>
      <c r="I28" s="362"/>
      <c r="J28" s="354"/>
      <c r="K28" s="361"/>
      <c r="L28" s="358"/>
    </row>
    <row r="29" spans="1:12" ht="13.15" customHeight="1" x14ac:dyDescent="0.25">
      <c r="A29" s="238" t="s">
        <v>878</v>
      </c>
      <c r="B29" s="237"/>
      <c r="C29" s="354"/>
      <c r="D29" s="354"/>
      <c r="E29" s="359"/>
      <c r="F29" s="360"/>
      <c r="G29" s="354"/>
      <c r="H29" s="361"/>
      <c r="I29" s="362"/>
      <c r="J29" s="354"/>
      <c r="K29" s="361"/>
      <c r="L29" s="358"/>
    </row>
    <row r="30" spans="1:12" ht="13.15" customHeight="1" x14ac:dyDescent="0.25">
      <c r="A30" s="238" t="s">
        <v>879</v>
      </c>
      <c r="B30" s="237"/>
      <c r="C30" s="354"/>
      <c r="D30" s="354"/>
      <c r="E30" s="359"/>
      <c r="F30" s="360"/>
      <c r="G30" s="354"/>
      <c r="H30" s="361"/>
      <c r="I30" s="362"/>
      <c r="J30" s="354"/>
      <c r="K30" s="361"/>
      <c r="L30" s="358"/>
    </row>
    <row r="31" spans="1:12" ht="13.15" customHeight="1" x14ac:dyDescent="0.25">
      <c r="A31" s="238" t="s">
        <v>880</v>
      </c>
      <c r="B31" s="237"/>
      <c r="C31" s="354"/>
      <c r="D31" s="354"/>
      <c r="E31" s="359"/>
      <c r="F31" s="360"/>
      <c r="G31" s="354"/>
      <c r="H31" s="361"/>
      <c r="I31" s="362"/>
      <c r="J31" s="354"/>
      <c r="K31" s="361"/>
      <c r="L31" s="358"/>
    </row>
    <row r="32" spans="1:12" ht="13.15" customHeight="1" x14ac:dyDescent="0.25">
      <c r="A32" s="238" t="s">
        <v>881</v>
      </c>
      <c r="B32" s="237"/>
      <c r="C32" s="354"/>
      <c r="D32" s="354"/>
      <c r="E32" s="359"/>
      <c r="F32" s="360"/>
      <c r="G32" s="354"/>
      <c r="H32" s="361"/>
      <c r="I32" s="362"/>
      <c r="J32" s="354"/>
      <c r="K32" s="361"/>
      <c r="L32" s="358"/>
    </row>
    <row r="33" spans="1:12" ht="13.15" customHeight="1" x14ac:dyDescent="0.25">
      <c r="A33" s="238" t="s">
        <v>882</v>
      </c>
      <c r="B33" s="237"/>
      <c r="C33" s="354"/>
      <c r="D33" s="354"/>
      <c r="E33" s="359"/>
      <c r="F33" s="360"/>
      <c r="G33" s="354"/>
      <c r="H33" s="361"/>
      <c r="I33" s="362"/>
      <c r="J33" s="354"/>
      <c r="K33" s="361"/>
      <c r="L33" s="358"/>
    </row>
    <row r="34" spans="1:12" ht="13.15" customHeight="1" x14ac:dyDescent="0.25">
      <c r="A34" s="238" t="s">
        <v>883</v>
      </c>
      <c r="B34" s="237"/>
      <c r="C34" s="354"/>
      <c r="D34" s="354"/>
      <c r="E34" s="359"/>
      <c r="F34" s="360"/>
      <c r="G34" s="354"/>
      <c r="H34" s="361"/>
      <c r="I34" s="362"/>
      <c r="J34" s="354"/>
      <c r="K34" s="361"/>
      <c r="L34" s="358"/>
    </row>
    <row r="35" spans="1:12" ht="13.15" customHeight="1" x14ac:dyDescent="0.25">
      <c r="A35" s="238" t="s">
        <v>884</v>
      </c>
      <c r="B35" s="237"/>
      <c r="C35" s="354"/>
      <c r="D35" s="354"/>
      <c r="E35" s="359"/>
      <c r="F35" s="360"/>
      <c r="G35" s="354"/>
      <c r="H35" s="361"/>
      <c r="I35" s="362"/>
      <c r="J35" s="354"/>
      <c r="K35" s="361"/>
      <c r="L35" s="358"/>
    </row>
    <row r="36" spans="1:12" ht="13.15" customHeight="1" x14ac:dyDescent="0.25">
      <c r="A36" s="238" t="s">
        <v>861</v>
      </c>
      <c r="B36" s="237"/>
      <c r="C36" s="354"/>
      <c r="D36" s="354"/>
      <c r="E36" s="359"/>
      <c r="F36" s="360"/>
      <c r="G36" s="354"/>
      <c r="H36" s="361"/>
      <c r="I36" s="362"/>
      <c r="J36" s="354"/>
      <c r="K36" s="361"/>
      <c r="L36" s="358"/>
    </row>
    <row r="37" spans="1:12" ht="13.15" customHeight="1" x14ac:dyDescent="0.25">
      <c r="A37" s="20" t="s">
        <v>885</v>
      </c>
      <c r="B37" s="237"/>
      <c r="C37" s="23">
        <f>SUM(C38:C43)</f>
        <v>0</v>
      </c>
      <c r="D37" s="23">
        <f t="shared" ref="D37:K37" si="5">SUM(D38:D43)</f>
        <v>0</v>
      </c>
      <c r="E37" s="50">
        <f t="shared" si="5"/>
        <v>0</v>
      </c>
      <c r="F37" s="24">
        <f t="shared" si="5"/>
        <v>0</v>
      </c>
      <c r="G37" s="23">
        <f t="shared" si="5"/>
        <v>0</v>
      </c>
      <c r="H37" s="83">
        <f t="shared" si="5"/>
        <v>0</v>
      </c>
      <c r="I37" s="319">
        <f t="shared" si="5"/>
        <v>0</v>
      </c>
      <c r="J37" s="23">
        <f t="shared" si="5"/>
        <v>0</v>
      </c>
      <c r="K37" s="83">
        <f t="shared" si="5"/>
        <v>0</v>
      </c>
      <c r="L37" s="358"/>
    </row>
    <row r="38" spans="1:12" ht="13.15" customHeight="1" x14ac:dyDescent="0.25">
      <c r="A38" s="238" t="s">
        <v>886</v>
      </c>
      <c r="B38" s="237"/>
      <c r="C38" s="354"/>
      <c r="D38" s="354"/>
      <c r="E38" s="359"/>
      <c r="F38" s="360"/>
      <c r="G38" s="354"/>
      <c r="H38" s="361"/>
      <c r="I38" s="362"/>
      <c r="J38" s="354"/>
      <c r="K38" s="361"/>
      <c r="L38" s="358"/>
    </row>
    <row r="39" spans="1:12" ht="13.15" customHeight="1" x14ac:dyDescent="0.25">
      <c r="A39" s="238" t="s">
        <v>500</v>
      </c>
      <c r="B39" s="237"/>
      <c r="C39" s="354"/>
      <c r="D39" s="354"/>
      <c r="E39" s="359"/>
      <c r="F39" s="360"/>
      <c r="G39" s="354"/>
      <c r="H39" s="361"/>
      <c r="I39" s="362"/>
      <c r="J39" s="354"/>
      <c r="K39" s="361"/>
      <c r="L39" s="358"/>
    </row>
    <row r="40" spans="1:12" ht="13.15" customHeight="1" x14ac:dyDescent="0.25">
      <c r="A40" s="238" t="s">
        <v>887</v>
      </c>
      <c r="B40" s="237"/>
      <c r="C40" s="354"/>
      <c r="D40" s="354"/>
      <c r="E40" s="359"/>
      <c r="F40" s="360"/>
      <c r="G40" s="354"/>
      <c r="H40" s="361"/>
      <c r="I40" s="362"/>
      <c r="J40" s="354"/>
      <c r="K40" s="361"/>
    </row>
    <row r="41" spans="1:12" ht="13.15" customHeight="1" x14ac:dyDescent="0.25">
      <c r="A41" s="238" t="s">
        <v>888</v>
      </c>
      <c r="B41" s="237"/>
      <c r="C41" s="354"/>
      <c r="D41" s="354"/>
      <c r="E41" s="359"/>
      <c r="F41" s="360"/>
      <c r="G41" s="354"/>
      <c r="H41" s="361"/>
      <c r="I41" s="362"/>
      <c r="J41" s="354"/>
      <c r="K41" s="361"/>
      <c r="L41" s="358"/>
    </row>
    <row r="42" spans="1:12" ht="13.15" customHeight="1" x14ac:dyDescent="0.25">
      <c r="A42" s="238" t="s">
        <v>889</v>
      </c>
      <c r="B42" s="237"/>
      <c r="C42" s="354"/>
      <c r="D42" s="354"/>
      <c r="E42" s="359"/>
      <c r="F42" s="360"/>
      <c r="G42" s="354"/>
      <c r="H42" s="361"/>
      <c r="I42" s="362"/>
      <c r="J42" s="354"/>
      <c r="K42" s="361"/>
    </row>
    <row r="43" spans="1:12" ht="13.15" customHeight="1" x14ac:dyDescent="0.25">
      <c r="A43" s="238" t="s">
        <v>861</v>
      </c>
      <c r="B43" s="237"/>
      <c r="C43" s="354"/>
      <c r="D43" s="354"/>
      <c r="E43" s="359"/>
      <c r="F43" s="360"/>
      <c r="G43" s="354"/>
      <c r="H43" s="361"/>
      <c r="I43" s="362"/>
      <c r="J43" s="354"/>
      <c r="K43" s="361"/>
    </row>
    <row r="44" spans="1:12" ht="13.15" customHeight="1" x14ac:dyDescent="0.25">
      <c r="A44" s="20" t="s">
        <v>890</v>
      </c>
      <c r="B44" s="237"/>
      <c r="C44" s="23">
        <f>SUM(C45:C51)</f>
        <v>0</v>
      </c>
      <c r="D44" s="23">
        <f t="shared" ref="D44:K44" si="6">SUM(D45:D51)</f>
        <v>0</v>
      </c>
      <c r="E44" s="50">
        <f t="shared" si="6"/>
        <v>0</v>
      </c>
      <c r="F44" s="24">
        <f t="shared" si="6"/>
        <v>0</v>
      </c>
      <c r="G44" s="23">
        <f t="shared" si="6"/>
        <v>0</v>
      </c>
      <c r="H44" s="83">
        <f t="shared" si="6"/>
        <v>0</v>
      </c>
      <c r="I44" s="319">
        <f t="shared" si="6"/>
        <v>0</v>
      </c>
      <c r="J44" s="23">
        <f t="shared" si="6"/>
        <v>0</v>
      </c>
      <c r="K44" s="83">
        <f t="shared" si="6"/>
        <v>0</v>
      </c>
    </row>
    <row r="45" spans="1:12" ht="13.15" customHeight="1" x14ac:dyDescent="0.25">
      <c r="A45" s="238" t="s">
        <v>891</v>
      </c>
      <c r="B45" s="237"/>
      <c r="C45" s="354"/>
      <c r="D45" s="354"/>
      <c r="E45" s="359"/>
      <c r="F45" s="360"/>
      <c r="G45" s="354"/>
      <c r="H45" s="361"/>
      <c r="I45" s="362"/>
      <c r="J45" s="354"/>
      <c r="K45" s="361"/>
    </row>
    <row r="46" spans="1:12" ht="13.15" customHeight="1" x14ac:dyDescent="0.25">
      <c r="A46" s="238" t="s">
        <v>892</v>
      </c>
      <c r="B46" s="237"/>
      <c r="C46" s="354"/>
      <c r="D46" s="354"/>
      <c r="E46" s="359"/>
      <c r="F46" s="360"/>
      <c r="G46" s="354"/>
      <c r="H46" s="361"/>
      <c r="I46" s="362"/>
      <c r="J46" s="354"/>
      <c r="K46" s="361"/>
    </row>
    <row r="47" spans="1:12" ht="13.15" customHeight="1" x14ac:dyDescent="0.25">
      <c r="A47" s="238" t="s">
        <v>893</v>
      </c>
      <c r="B47" s="237"/>
      <c r="C47" s="354"/>
      <c r="D47" s="354"/>
      <c r="E47" s="359"/>
      <c r="F47" s="360"/>
      <c r="G47" s="354"/>
      <c r="H47" s="361"/>
      <c r="I47" s="362"/>
      <c r="J47" s="354"/>
      <c r="K47" s="361"/>
    </row>
    <row r="48" spans="1:12" ht="13.15" customHeight="1" x14ac:dyDescent="0.25">
      <c r="A48" s="238" t="s">
        <v>894</v>
      </c>
      <c r="B48" s="237"/>
      <c r="C48" s="354"/>
      <c r="D48" s="354"/>
      <c r="E48" s="359"/>
      <c r="F48" s="360"/>
      <c r="G48" s="354"/>
      <c r="H48" s="361"/>
      <c r="I48" s="362"/>
      <c r="J48" s="354"/>
      <c r="K48" s="361"/>
      <c r="L48" s="358"/>
    </row>
    <row r="49" spans="1:12" ht="13.15" customHeight="1" x14ac:dyDescent="0.25">
      <c r="A49" s="238" t="s">
        <v>895</v>
      </c>
      <c r="B49" s="237"/>
      <c r="C49" s="354"/>
      <c r="D49" s="354"/>
      <c r="E49" s="359"/>
      <c r="F49" s="360"/>
      <c r="G49" s="354"/>
      <c r="H49" s="361"/>
      <c r="I49" s="362"/>
      <c r="J49" s="354"/>
      <c r="K49" s="361"/>
    </row>
    <row r="50" spans="1:12" ht="13.15" customHeight="1" x14ac:dyDescent="0.25">
      <c r="A50" s="238" t="s">
        <v>896</v>
      </c>
      <c r="B50" s="237"/>
      <c r="C50" s="354"/>
      <c r="D50" s="354"/>
      <c r="E50" s="359"/>
      <c r="F50" s="360"/>
      <c r="G50" s="354"/>
      <c r="H50" s="361"/>
      <c r="I50" s="362"/>
      <c r="J50" s="354"/>
      <c r="K50" s="361"/>
    </row>
    <row r="51" spans="1:12" ht="13.15" customHeight="1" x14ac:dyDescent="0.25">
      <c r="A51" s="238" t="s">
        <v>861</v>
      </c>
      <c r="B51" s="237"/>
      <c r="C51" s="354"/>
      <c r="D51" s="354"/>
      <c r="E51" s="359"/>
      <c r="F51" s="360"/>
      <c r="G51" s="354"/>
      <c r="H51" s="361"/>
      <c r="I51" s="362"/>
      <c r="J51" s="354"/>
      <c r="K51" s="361"/>
    </row>
    <row r="52" spans="1:12" ht="13.15" customHeight="1" x14ac:dyDescent="0.25">
      <c r="A52" s="20" t="s">
        <v>897</v>
      </c>
      <c r="B52" s="237"/>
      <c r="C52" s="23">
        <f t="shared" ref="C52:K52" si="7">SUM(C53:C61)</f>
        <v>0</v>
      </c>
      <c r="D52" s="23">
        <f t="shared" si="7"/>
        <v>0</v>
      </c>
      <c r="E52" s="50">
        <f t="shared" si="7"/>
        <v>0</v>
      </c>
      <c r="F52" s="24">
        <f t="shared" si="7"/>
        <v>0</v>
      </c>
      <c r="G52" s="23">
        <f t="shared" si="7"/>
        <v>0</v>
      </c>
      <c r="H52" s="83">
        <f t="shared" si="7"/>
        <v>0</v>
      </c>
      <c r="I52" s="319">
        <f t="shared" si="7"/>
        <v>0</v>
      </c>
      <c r="J52" s="23">
        <f t="shared" si="7"/>
        <v>0</v>
      </c>
      <c r="K52" s="83">
        <f t="shared" si="7"/>
        <v>0</v>
      </c>
      <c r="L52" s="358"/>
    </row>
    <row r="53" spans="1:12" ht="13.15" customHeight="1" x14ac:dyDescent="0.25">
      <c r="A53" s="238" t="s">
        <v>898</v>
      </c>
      <c r="B53" s="237"/>
      <c r="C53" s="354"/>
      <c r="D53" s="354"/>
      <c r="E53" s="359"/>
      <c r="F53" s="360"/>
      <c r="G53" s="354"/>
      <c r="H53" s="361"/>
      <c r="I53" s="362"/>
      <c r="J53" s="354"/>
      <c r="K53" s="361"/>
    </row>
    <row r="54" spans="1:12" ht="13.15" customHeight="1" x14ac:dyDescent="0.25">
      <c r="A54" s="238" t="s">
        <v>899</v>
      </c>
      <c r="B54" s="237"/>
      <c r="C54" s="354"/>
      <c r="D54" s="354"/>
      <c r="E54" s="359"/>
      <c r="F54" s="360"/>
      <c r="G54" s="354"/>
      <c r="H54" s="361"/>
      <c r="I54" s="362"/>
      <c r="J54" s="354"/>
      <c r="K54" s="361"/>
      <c r="L54" s="358"/>
    </row>
    <row r="55" spans="1:12" ht="13.15" customHeight="1" x14ac:dyDescent="0.25">
      <c r="A55" s="238" t="s">
        <v>900</v>
      </c>
      <c r="B55" s="237"/>
      <c r="C55" s="354"/>
      <c r="D55" s="354"/>
      <c r="E55" s="359"/>
      <c r="F55" s="360"/>
      <c r="G55" s="354"/>
      <c r="H55" s="361"/>
      <c r="I55" s="362"/>
      <c r="J55" s="354"/>
      <c r="K55" s="361"/>
      <c r="L55" s="358"/>
    </row>
    <row r="56" spans="1:12" ht="13.15" customHeight="1" x14ac:dyDescent="0.25">
      <c r="A56" s="238" t="s">
        <v>863</v>
      </c>
      <c r="B56" s="237"/>
      <c r="C56" s="354"/>
      <c r="D56" s="354"/>
      <c r="E56" s="359"/>
      <c r="F56" s="360"/>
      <c r="G56" s="354"/>
      <c r="H56" s="361"/>
      <c r="I56" s="362"/>
      <c r="J56" s="354"/>
      <c r="K56" s="361"/>
      <c r="L56" s="358"/>
    </row>
    <row r="57" spans="1:12" ht="13.15" customHeight="1" x14ac:dyDescent="0.25">
      <c r="A57" s="238" t="s">
        <v>864</v>
      </c>
      <c r="B57" s="237"/>
      <c r="C57" s="354"/>
      <c r="D57" s="354"/>
      <c r="E57" s="359"/>
      <c r="F57" s="360"/>
      <c r="G57" s="354"/>
      <c r="H57" s="361"/>
      <c r="I57" s="362"/>
      <c r="J57" s="354"/>
      <c r="K57" s="361"/>
      <c r="L57" s="358"/>
    </row>
    <row r="58" spans="1:12" ht="13.15" customHeight="1" x14ac:dyDescent="0.25">
      <c r="A58" s="238" t="s">
        <v>865</v>
      </c>
      <c r="B58" s="237"/>
      <c r="C58" s="354"/>
      <c r="D58" s="354"/>
      <c r="E58" s="359"/>
      <c r="F58" s="360"/>
      <c r="G58" s="354"/>
      <c r="H58" s="361"/>
      <c r="I58" s="362"/>
      <c r="J58" s="354"/>
      <c r="K58" s="361"/>
    </row>
    <row r="59" spans="1:12" ht="13.15" customHeight="1" x14ac:dyDescent="0.25">
      <c r="A59" s="238" t="s">
        <v>871</v>
      </c>
      <c r="B59" s="237"/>
      <c r="C59" s="354"/>
      <c r="D59" s="354"/>
      <c r="E59" s="359"/>
      <c r="F59" s="360"/>
      <c r="G59" s="354"/>
      <c r="H59" s="361"/>
      <c r="I59" s="362"/>
      <c r="J59" s="354"/>
      <c r="K59" s="361"/>
      <c r="L59" s="358"/>
    </row>
    <row r="60" spans="1:12" ht="13.15" customHeight="1" x14ac:dyDescent="0.25">
      <c r="A60" s="238" t="s">
        <v>874</v>
      </c>
      <c r="B60" s="237"/>
      <c r="C60" s="354"/>
      <c r="D60" s="354"/>
      <c r="E60" s="359"/>
      <c r="F60" s="360"/>
      <c r="G60" s="354"/>
      <c r="H60" s="361"/>
      <c r="I60" s="362"/>
      <c r="J60" s="354"/>
      <c r="K60" s="361"/>
      <c r="L60" s="358"/>
    </row>
    <row r="61" spans="1:12" ht="13.15" customHeight="1" x14ac:dyDescent="0.25">
      <c r="A61" s="238" t="s">
        <v>861</v>
      </c>
      <c r="B61" s="237"/>
      <c r="C61" s="354"/>
      <c r="D61" s="354"/>
      <c r="E61" s="359"/>
      <c r="F61" s="360"/>
      <c r="G61" s="354"/>
      <c r="H61" s="361"/>
      <c r="I61" s="362"/>
      <c r="J61" s="354"/>
      <c r="K61" s="361"/>
      <c r="L61" s="358"/>
    </row>
    <row r="62" spans="1:12" ht="13.15" customHeight="1" x14ac:dyDescent="0.25">
      <c r="A62" s="20" t="s">
        <v>901</v>
      </c>
      <c r="B62" s="237"/>
      <c r="C62" s="23">
        <f>SUM(C63:C67)</f>
        <v>0</v>
      </c>
      <c r="D62" s="23">
        <f t="shared" ref="D62:K62" si="8">SUM(D63:D67)</f>
        <v>0</v>
      </c>
      <c r="E62" s="50">
        <f t="shared" si="8"/>
        <v>0</v>
      </c>
      <c r="F62" s="24">
        <f t="shared" si="8"/>
        <v>0</v>
      </c>
      <c r="G62" s="23">
        <f t="shared" si="8"/>
        <v>0</v>
      </c>
      <c r="H62" s="83">
        <f t="shared" si="8"/>
        <v>0</v>
      </c>
      <c r="I62" s="319">
        <f t="shared" si="8"/>
        <v>0</v>
      </c>
      <c r="J62" s="23">
        <f t="shared" si="8"/>
        <v>0</v>
      </c>
      <c r="K62" s="83">
        <f t="shared" si="8"/>
        <v>0</v>
      </c>
      <c r="L62" s="358"/>
    </row>
    <row r="63" spans="1:12" ht="13.15" customHeight="1" x14ac:dyDescent="0.25">
      <c r="A63" s="238" t="s">
        <v>902</v>
      </c>
      <c r="B63" s="237"/>
      <c r="C63" s="354"/>
      <c r="D63" s="354"/>
      <c r="E63" s="359"/>
      <c r="F63" s="360"/>
      <c r="G63" s="354"/>
      <c r="H63" s="361"/>
      <c r="I63" s="362"/>
      <c r="J63" s="354"/>
      <c r="K63" s="361"/>
      <c r="L63" s="358"/>
    </row>
    <row r="64" spans="1:12" ht="13.15" customHeight="1" x14ac:dyDescent="0.25">
      <c r="A64" s="238" t="s">
        <v>903</v>
      </c>
      <c r="B64" s="237"/>
      <c r="C64" s="354"/>
      <c r="D64" s="354"/>
      <c r="E64" s="359"/>
      <c r="F64" s="360"/>
      <c r="G64" s="354"/>
      <c r="H64" s="361"/>
      <c r="I64" s="362"/>
      <c r="J64" s="354"/>
      <c r="K64" s="361"/>
    </row>
    <row r="65" spans="1:11" ht="13.15" customHeight="1" x14ac:dyDescent="0.25">
      <c r="A65" s="238" t="s">
        <v>904</v>
      </c>
      <c r="B65" s="237"/>
      <c r="C65" s="354"/>
      <c r="D65" s="354"/>
      <c r="E65" s="359"/>
      <c r="F65" s="360"/>
      <c r="G65" s="354"/>
      <c r="H65" s="361"/>
      <c r="I65" s="362"/>
      <c r="J65" s="354"/>
      <c r="K65" s="361"/>
    </row>
    <row r="66" spans="1:11" ht="13.15" customHeight="1" x14ac:dyDescent="0.25">
      <c r="A66" s="238" t="s">
        <v>905</v>
      </c>
      <c r="B66" s="237"/>
      <c r="C66" s="354"/>
      <c r="D66" s="354"/>
      <c r="E66" s="359"/>
      <c r="F66" s="360"/>
      <c r="G66" s="354"/>
      <c r="H66" s="361"/>
      <c r="I66" s="362"/>
      <c r="J66" s="354"/>
      <c r="K66" s="361"/>
    </row>
    <row r="67" spans="1:11" ht="13.15" customHeight="1" x14ac:dyDescent="0.25">
      <c r="A67" s="238" t="s">
        <v>861</v>
      </c>
      <c r="B67" s="237"/>
      <c r="C67" s="354"/>
      <c r="D67" s="354"/>
      <c r="E67" s="359"/>
      <c r="F67" s="360"/>
      <c r="G67" s="354"/>
      <c r="H67" s="361"/>
      <c r="I67" s="362"/>
      <c r="J67" s="354"/>
      <c r="K67" s="361"/>
    </row>
    <row r="68" spans="1:11" ht="13.15" customHeight="1" x14ac:dyDescent="0.25">
      <c r="A68" s="20" t="s">
        <v>906</v>
      </c>
      <c r="B68" s="237"/>
      <c r="C68" s="23">
        <f>SUM(C69:C72)</f>
        <v>0</v>
      </c>
      <c r="D68" s="23">
        <f t="shared" ref="D68:K68" si="9">SUM(D69:D72)</f>
        <v>0</v>
      </c>
      <c r="E68" s="23">
        <f t="shared" si="9"/>
        <v>0</v>
      </c>
      <c r="F68" s="24">
        <f t="shared" si="9"/>
        <v>0</v>
      </c>
      <c r="G68" s="23">
        <f t="shared" si="9"/>
        <v>0</v>
      </c>
      <c r="H68" s="83">
        <f t="shared" si="9"/>
        <v>0</v>
      </c>
      <c r="I68" s="319">
        <f t="shared" si="9"/>
        <v>0</v>
      </c>
      <c r="J68" s="23">
        <f t="shared" si="9"/>
        <v>0</v>
      </c>
      <c r="K68" s="83">
        <f t="shared" si="9"/>
        <v>0</v>
      </c>
    </row>
    <row r="69" spans="1:11" ht="13.15" customHeight="1" x14ac:dyDescent="0.25">
      <c r="A69" s="238" t="s">
        <v>907</v>
      </c>
      <c r="B69" s="237"/>
      <c r="C69" s="354"/>
      <c r="D69" s="354"/>
      <c r="E69" s="357"/>
      <c r="F69" s="356"/>
      <c r="G69" s="354"/>
      <c r="H69" s="357"/>
      <c r="I69" s="356"/>
      <c r="J69" s="354"/>
      <c r="K69" s="361"/>
    </row>
    <row r="70" spans="1:11" ht="13.15" customHeight="1" x14ac:dyDescent="0.25">
      <c r="A70" s="238" t="s">
        <v>908</v>
      </c>
      <c r="B70" s="237"/>
      <c r="C70" s="354"/>
      <c r="D70" s="354"/>
      <c r="E70" s="355"/>
      <c r="F70" s="356"/>
      <c r="G70" s="354"/>
      <c r="H70" s="357"/>
      <c r="I70" s="356"/>
      <c r="J70" s="354"/>
      <c r="K70" s="361"/>
    </row>
    <row r="71" spans="1:11" ht="13.15" customHeight="1" x14ac:dyDescent="0.25">
      <c r="A71" s="238" t="s">
        <v>909</v>
      </c>
      <c r="B71" s="237"/>
      <c r="C71" s="354"/>
      <c r="D71" s="354"/>
      <c r="E71" s="355"/>
      <c r="F71" s="356"/>
      <c r="G71" s="354"/>
      <c r="H71" s="357"/>
      <c r="I71" s="356"/>
      <c r="J71" s="354"/>
      <c r="K71" s="355"/>
    </row>
    <row r="72" spans="1:11" ht="13.15" customHeight="1" x14ac:dyDescent="0.25">
      <c r="A72" s="238" t="s">
        <v>861</v>
      </c>
      <c r="B72" s="237"/>
      <c r="C72" s="354"/>
      <c r="D72" s="354"/>
      <c r="E72" s="355"/>
      <c r="F72" s="356"/>
      <c r="G72" s="354"/>
      <c r="H72" s="357"/>
      <c r="I72" s="356"/>
      <c r="J72" s="354"/>
      <c r="K72" s="355"/>
    </row>
    <row r="73" spans="1:11" ht="5.0999999999999996" customHeight="1" x14ac:dyDescent="0.25">
      <c r="A73" s="21"/>
      <c r="B73" s="237"/>
      <c r="C73" s="23"/>
      <c r="D73" s="23"/>
      <c r="E73" s="240"/>
      <c r="F73" s="241"/>
      <c r="G73" s="23"/>
      <c r="H73" s="22"/>
      <c r="I73" s="241"/>
      <c r="J73" s="23"/>
      <c r="K73" s="240"/>
    </row>
    <row r="74" spans="1:11" ht="13.15" customHeight="1" x14ac:dyDescent="0.25">
      <c r="A74" s="19" t="s">
        <v>910</v>
      </c>
      <c r="B74" s="237"/>
      <c r="C74" s="26">
        <f>C75+C98</f>
        <v>0</v>
      </c>
      <c r="D74" s="26">
        <f t="shared" ref="D74:K74" si="10">D75+D98</f>
        <v>0</v>
      </c>
      <c r="E74" s="233">
        <f t="shared" si="10"/>
        <v>0</v>
      </c>
      <c r="F74" s="232">
        <f t="shared" si="10"/>
        <v>0</v>
      </c>
      <c r="G74" s="26">
        <f t="shared" si="10"/>
        <v>0</v>
      </c>
      <c r="H74" s="25">
        <f t="shared" si="10"/>
        <v>0</v>
      </c>
      <c r="I74" s="232">
        <f t="shared" si="10"/>
        <v>0</v>
      </c>
      <c r="J74" s="26">
        <f t="shared" si="10"/>
        <v>0</v>
      </c>
      <c r="K74" s="233">
        <f t="shared" si="10"/>
        <v>0</v>
      </c>
    </row>
    <row r="75" spans="1:11" ht="13.15" customHeight="1" x14ac:dyDescent="0.25">
      <c r="A75" s="20" t="s">
        <v>911</v>
      </c>
      <c r="B75" s="237"/>
      <c r="C75" s="48">
        <f>SUM(C76:C97)</f>
        <v>0</v>
      </c>
      <c r="D75" s="48">
        <f t="shared" ref="D75:K75" si="11">SUM(D76:D97)</f>
        <v>0</v>
      </c>
      <c r="E75" s="317">
        <f t="shared" si="11"/>
        <v>0</v>
      </c>
      <c r="F75" s="49">
        <f t="shared" si="11"/>
        <v>0</v>
      </c>
      <c r="G75" s="48">
        <f t="shared" si="11"/>
        <v>0</v>
      </c>
      <c r="H75" s="100">
        <f t="shared" si="11"/>
        <v>0</v>
      </c>
      <c r="I75" s="49">
        <f t="shared" si="11"/>
        <v>0</v>
      </c>
      <c r="J75" s="48">
        <f t="shared" si="11"/>
        <v>0</v>
      </c>
      <c r="K75" s="100">
        <f t="shared" si="11"/>
        <v>0</v>
      </c>
    </row>
    <row r="76" spans="1:11" ht="13.15" customHeight="1" x14ac:dyDescent="0.25">
      <c r="A76" s="238" t="s">
        <v>912</v>
      </c>
      <c r="B76" s="237"/>
      <c r="C76" s="354"/>
      <c r="D76" s="354"/>
      <c r="E76" s="355"/>
      <c r="F76" s="356"/>
      <c r="G76" s="354"/>
      <c r="H76" s="357"/>
      <c r="I76" s="356"/>
      <c r="J76" s="354"/>
      <c r="K76" s="355"/>
    </row>
    <row r="77" spans="1:11" ht="13.15" customHeight="1" x14ac:dyDescent="0.25">
      <c r="A77" s="238" t="s">
        <v>913</v>
      </c>
      <c r="B77" s="237"/>
      <c r="C77" s="354"/>
      <c r="D77" s="354"/>
      <c r="E77" s="355"/>
      <c r="F77" s="356"/>
      <c r="G77" s="354"/>
      <c r="H77" s="357"/>
      <c r="I77" s="356"/>
      <c r="J77" s="354"/>
      <c r="K77" s="355"/>
    </row>
    <row r="78" spans="1:11" ht="13.15" customHeight="1" x14ac:dyDescent="0.25">
      <c r="A78" s="238" t="s">
        <v>914</v>
      </c>
      <c r="B78" s="237"/>
      <c r="C78" s="354"/>
      <c r="D78" s="354"/>
      <c r="E78" s="355"/>
      <c r="F78" s="356"/>
      <c r="G78" s="354"/>
      <c r="H78" s="357"/>
      <c r="I78" s="356"/>
      <c r="J78" s="354"/>
      <c r="K78" s="355"/>
    </row>
    <row r="79" spans="1:11" ht="13.15" customHeight="1" x14ac:dyDescent="0.25">
      <c r="A79" s="238" t="s">
        <v>915</v>
      </c>
      <c r="B79" s="237"/>
      <c r="C79" s="354"/>
      <c r="D79" s="354"/>
      <c r="E79" s="355"/>
      <c r="F79" s="356"/>
      <c r="G79" s="354"/>
      <c r="H79" s="357"/>
      <c r="I79" s="356"/>
      <c r="J79" s="354"/>
      <c r="K79" s="355"/>
    </row>
    <row r="80" spans="1:11" ht="13.15" customHeight="1" x14ac:dyDescent="0.25">
      <c r="A80" s="238" t="s">
        <v>916</v>
      </c>
      <c r="B80" s="237"/>
      <c r="C80" s="354"/>
      <c r="D80" s="354"/>
      <c r="E80" s="355"/>
      <c r="F80" s="356"/>
      <c r="G80" s="354"/>
      <c r="H80" s="357"/>
      <c r="I80" s="356"/>
      <c r="J80" s="354"/>
      <c r="K80" s="355"/>
    </row>
    <row r="81" spans="1:12" ht="13.15" customHeight="1" x14ac:dyDescent="0.25">
      <c r="A81" s="238" t="s">
        <v>917</v>
      </c>
      <c r="B81" s="237"/>
      <c r="C81" s="354"/>
      <c r="D81" s="354"/>
      <c r="E81" s="355"/>
      <c r="F81" s="356"/>
      <c r="G81" s="354"/>
      <c r="H81" s="357"/>
      <c r="I81" s="356"/>
      <c r="J81" s="354"/>
      <c r="K81" s="355"/>
    </row>
    <row r="82" spans="1:12" ht="13.15" customHeight="1" x14ac:dyDescent="0.25">
      <c r="A82" s="238" t="s">
        <v>918</v>
      </c>
      <c r="B82" s="237"/>
      <c r="C82" s="354"/>
      <c r="D82" s="354"/>
      <c r="E82" s="355"/>
      <c r="F82" s="356"/>
      <c r="G82" s="354"/>
      <c r="H82" s="357"/>
      <c r="I82" s="356"/>
      <c r="J82" s="354"/>
      <c r="K82" s="355"/>
    </row>
    <row r="83" spans="1:12" ht="13.15" customHeight="1" x14ac:dyDescent="0.25">
      <c r="A83" s="238" t="s">
        <v>919</v>
      </c>
      <c r="B83" s="237"/>
      <c r="C83" s="354"/>
      <c r="D83" s="354"/>
      <c r="E83" s="355"/>
      <c r="F83" s="356"/>
      <c r="G83" s="354"/>
      <c r="H83" s="357"/>
      <c r="I83" s="356"/>
      <c r="J83" s="354"/>
      <c r="K83" s="355"/>
    </row>
    <row r="84" spans="1:12" s="297" customFormat="1" ht="13.15" customHeight="1" x14ac:dyDescent="0.25">
      <c r="A84" s="238" t="s">
        <v>920</v>
      </c>
      <c r="B84" s="237"/>
      <c r="C84" s="354"/>
      <c r="D84" s="354"/>
      <c r="E84" s="355"/>
      <c r="F84" s="356"/>
      <c r="G84" s="354"/>
      <c r="H84" s="357"/>
      <c r="I84" s="356"/>
      <c r="J84" s="354"/>
      <c r="K84" s="355"/>
      <c r="L84" s="363"/>
    </row>
    <row r="85" spans="1:12" s="297" customFormat="1" ht="13.15" customHeight="1" x14ac:dyDescent="0.25">
      <c r="A85" s="238" t="s">
        <v>90</v>
      </c>
      <c r="B85" s="237"/>
      <c r="C85" s="354"/>
      <c r="D85" s="354"/>
      <c r="E85" s="355"/>
      <c r="F85" s="356"/>
      <c r="G85" s="354"/>
      <c r="H85" s="357"/>
      <c r="I85" s="356"/>
      <c r="J85" s="354"/>
      <c r="K85" s="355"/>
    </row>
    <row r="86" spans="1:12" s="297" customFormat="1" ht="13.15" customHeight="1" x14ac:dyDescent="0.25">
      <c r="A86" s="238" t="s">
        <v>921</v>
      </c>
      <c r="B86" s="237"/>
      <c r="C86" s="354"/>
      <c r="D86" s="354"/>
      <c r="E86" s="355"/>
      <c r="F86" s="356"/>
      <c r="G86" s="354"/>
      <c r="H86" s="357"/>
      <c r="I86" s="356"/>
      <c r="J86" s="354"/>
      <c r="K86" s="355"/>
    </row>
    <row r="87" spans="1:12" ht="13.15" customHeight="1" x14ac:dyDescent="0.25">
      <c r="A87" s="238" t="s">
        <v>922</v>
      </c>
      <c r="B87" s="237"/>
      <c r="C87" s="354"/>
      <c r="D87" s="354"/>
      <c r="E87" s="355"/>
      <c r="F87" s="356"/>
      <c r="G87" s="354"/>
      <c r="H87" s="357"/>
      <c r="I87" s="356"/>
      <c r="J87" s="354"/>
      <c r="K87" s="355"/>
    </row>
    <row r="88" spans="1:12" ht="13.15" customHeight="1" x14ac:dyDescent="0.25">
      <c r="A88" s="238" t="s">
        <v>1025</v>
      </c>
      <c r="B88" s="237"/>
      <c r="C88" s="354"/>
      <c r="D88" s="354"/>
      <c r="E88" s="355"/>
      <c r="F88" s="356"/>
      <c r="G88" s="354"/>
      <c r="H88" s="357"/>
      <c r="I88" s="356"/>
      <c r="J88" s="354"/>
      <c r="K88" s="355"/>
    </row>
    <row r="89" spans="1:12" ht="13.15" customHeight="1" x14ac:dyDescent="0.25">
      <c r="A89" s="238" t="s">
        <v>923</v>
      </c>
      <c r="B89" s="237"/>
      <c r="C89" s="354"/>
      <c r="D89" s="354"/>
      <c r="E89" s="355"/>
      <c r="F89" s="356"/>
      <c r="G89" s="354"/>
      <c r="H89" s="357"/>
      <c r="I89" s="356"/>
      <c r="J89" s="354"/>
      <c r="K89" s="355"/>
    </row>
    <row r="90" spans="1:12" ht="13.15" customHeight="1" x14ac:dyDescent="0.25">
      <c r="A90" s="238" t="s">
        <v>924</v>
      </c>
      <c r="B90" s="237"/>
      <c r="C90" s="354"/>
      <c r="D90" s="354"/>
      <c r="E90" s="355"/>
      <c r="F90" s="356"/>
      <c r="G90" s="354"/>
      <c r="H90" s="357"/>
      <c r="I90" s="356"/>
      <c r="J90" s="354"/>
      <c r="K90" s="355"/>
    </row>
    <row r="91" spans="1:12" ht="13.15" customHeight="1" x14ac:dyDescent="0.25">
      <c r="A91" s="238" t="s">
        <v>925</v>
      </c>
      <c r="B91" s="237"/>
      <c r="C91" s="354"/>
      <c r="D91" s="354"/>
      <c r="E91" s="355"/>
      <c r="F91" s="356"/>
      <c r="G91" s="354"/>
      <c r="H91" s="357"/>
      <c r="I91" s="356"/>
      <c r="J91" s="354"/>
      <c r="K91" s="355"/>
    </row>
    <row r="92" spans="1:12" ht="13.15" customHeight="1" x14ac:dyDescent="0.25">
      <c r="A92" s="238" t="s">
        <v>11</v>
      </c>
      <c r="B92" s="237"/>
      <c r="C92" s="354"/>
      <c r="D92" s="354"/>
      <c r="E92" s="355"/>
      <c r="F92" s="356"/>
      <c r="G92" s="354"/>
      <c r="H92" s="357"/>
      <c r="I92" s="356"/>
      <c r="J92" s="354"/>
      <c r="K92" s="355"/>
    </row>
    <row r="93" spans="1:12" ht="13.15" customHeight="1" x14ac:dyDescent="0.25">
      <c r="A93" s="238" t="s">
        <v>926</v>
      </c>
      <c r="B93" s="237"/>
      <c r="C93" s="354"/>
      <c r="D93" s="354"/>
      <c r="E93" s="355"/>
      <c r="F93" s="356"/>
      <c r="G93" s="354"/>
      <c r="H93" s="357"/>
      <c r="I93" s="356"/>
      <c r="J93" s="354"/>
      <c r="K93" s="355"/>
    </row>
    <row r="94" spans="1:12" ht="13.15" customHeight="1" x14ac:dyDescent="0.25">
      <c r="A94" s="238" t="s">
        <v>10</v>
      </c>
      <c r="B94" s="237"/>
      <c r="C94" s="354"/>
      <c r="D94" s="354"/>
      <c r="E94" s="355"/>
      <c r="F94" s="356"/>
      <c r="G94" s="354"/>
      <c r="H94" s="357"/>
      <c r="I94" s="356"/>
      <c r="J94" s="354"/>
      <c r="K94" s="355"/>
    </row>
    <row r="95" spans="1:12" ht="13.15" customHeight="1" x14ac:dyDescent="0.25">
      <c r="A95" s="238" t="s">
        <v>927</v>
      </c>
      <c r="B95" s="237"/>
      <c r="C95" s="354"/>
      <c r="D95" s="354"/>
      <c r="E95" s="355"/>
      <c r="F95" s="356"/>
      <c r="G95" s="354"/>
      <c r="H95" s="357"/>
      <c r="I95" s="356"/>
      <c r="J95" s="354"/>
      <c r="K95" s="355"/>
    </row>
    <row r="96" spans="1:12" ht="13.15" customHeight="1" x14ac:dyDescent="0.25">
      <c r="A96" s="238" t="s">
        <v>928</v>
      </c>
      <c r="B96" s="237"/>
      <c r="C96" s="354"/>
      <c r="D96" s="354"/>
      <c r="E96" s="355"/>
      <c r="F96" s="356"/>
      <c r="G96" s="354"/>
      <c r="H96" s="357"/>
      <c r="I96" s="356"/>
      <c r="J96" s="354"/>
      <c r="K96" s="355"/>
    </row>
    <row r="97" spans="1:11" ht="13.15" customHeight="1" x14ac:dyDescent="0.25">
      <c r="A97" s="238" t="s">
        <v>861</v>
      </c>
      <c r="B97" s="237"/>
      <c r="C97" s="354"/>
      <c r="D97" s="354"/>
      <c r="E97" s="355"/>
      <c r="F97" s="356"/>
      <c r="G97" s="354"/>
      <c r="H97" s="357"/>
      <c r="I97" s="356"/>
      <c r="J97" s="354"/>
      <c r="K97" s="355"/>
    </row>
    <row r="98" spans="1:11" ht="13.15" customHeight="1" x14ac:dyDescent="0.25">
      <c r="A98" s="20" t="s">
        <v>929</v>
      </c>
      <c r="B98" s="237"/>
      <c r="C98" s="23">
        <f>SUM(C99:C101)</f>
        <v>0</v>
      </c>
      <c r="D98" s="23">
        <f t="shared" ref="D98:K98" si="12">SUM(D99:D101)</f>
        <v>0</v>
      </c>
      <c r="E98" s="23">
        <f t="shared" si="12"/>
        <v>0</v>
      </c>
      <c r="F98" s="24">
        <f t="shared" si="12"/>
        <v>0</v>
      </c>
      <c r="G98" s="23">
        <f t="shared" si="12"/>
        <v>0</v>
      </c>
      <c r="H98" s="83">
        <f t="shared" si="12"/>
        <v>0</v>
      </c>
      <c r="I98" s="319">
        <f t="shared" si="12"/>
        <v>0</v>
      </c>
      <c r="J98" s="23">
        <f t="shared" si="12"/>
        <v>0</v>
      </c>
      <c r="K98" s="83">
        <f t="shared" si="12"/>
        <v>0</v>
      </c>
    </row>
    <row r="99" spans="1:11" ht="13.15" customHeight="1" x14ac:dyDescent="0.25">
      <c r="A99" s="238" t="s">
        <v>930</v>
      </c>
      <c r="B99" s="237"/>
      <c r="C99" s="354"/>
      <c r="D99" s="354"/>
      <c r="E99" s="357"/>
      <c r="F99" s="356"/>
      <c r="G99" s="354"/>
      <c r="H99" s="357"/>
      <c r="I99" s="356"/>
      <c r="J99" s="354"/>
      <c r="K99" s="361"/>
    </row>
    <row r="100" spans="1:11" ht="13.15" customHeight="1" x14ac:dyDescent="0.25">
      <c r="A100" s="238" t="s">
        <v>931</v>
      </c>
      <c r="B100" s="237"/>
      <c r="C100" s="354"/>
      <c r="D100" s="354"/>
      <c r="E100" s="355"/>
      <c r="F100" s="356"/>
      <c r="G100" s="354"/>
      <c r="H100" s="357"/>
      <c r="I100" s="356"/>
      <c r="J100" s="354"/>
      <c r="K100" s="361"/>
    </row>
    <row r="101" spans="1:11" ht="13.15" customHeight="1" x14ac:dyDescent="0.25">
      <c r="A101" s="238" t="s">
        <v>861</v>
      </c>
      <c r="B101" s="237"/>
      <c r="C101" s="354"/>
      <c r="D101" s="354"/>
      <c r="E101" s="355"/>
      <c r="F101" s="356"/>
      <c r="G101" s="354"/>
      <c r="H101" s="357"/>
      <c r="I101" s="356"/>
      <c r="J101" s="354"/>
      <c r="K101" s="355"/>
    </row>
    <row r="102" spans="1:11" ht="5.0999999999999996" customHeight="1" x14ac:dyDescent="0.25">
      <c r="A102" s="21"/>
      <c r="B102" s="237"/>
      <c r="C102" s="23"/>
      <c r="D102" s="23"/>
      <c r="E102" s="240"/>
      <c r="F102" s="241"/>
      <c r="G102" s="23"/>
      <c r="H102" s="22"/>
      <c r="I102" s="241"/>
      <c r="J102" s="23"/>
      <c r="K102" s="240"/>
    </row>
    <row r="103" spans="1:11" ht="13.15" customHeight="1" x14ac:dyDescent="0.25">
      <c r="A103" s="19" t="s">
        <v>187</v>
      </c>
      <c r="B103" s="237"/>
      <c r="C103" s="23">
        <f>SUM(C104:C108)</f>
        <v>0</v>
      </c>
      <c r="D103" s="23">
        <f t="shared" ref="D103:K103" si="13">SUM(D104:D108)</f>
        <v>0</v>
      </c>
      <c r="E103" s="240">
        <f t="shared" si="13"/>
        <v>0</v>
      </c>
      <c r="F103" s="241">
        <f t="shared" si="13"/>
        <v>0</v>
      </c>
      <c r="G103" s="23">
        <f t="shared" si="13"/>
        <v>0</v>
      </c>
      <c r="H103" s="22">
        <f t="shared" si="13"/>
        <v>0</v>
      </c>
      <c r="I103" s="241">
        <f t="shared" si="13"/>
        <v>0</v>
      </c>
      <c r="J103" s="23">
        <f t="shared" si="13"/>
        <v>0</v>
      </c>
      <c r="K103" s="240">
        <f t="shared" si="13"/>
        <v>0</v>
      </c>
    </row>
    <row r="104" spans="1:11" ht="13.15" customHeight="1" x14ac:dyDescent="0.25">
      <c r="A104" s="20" t="s">
        <v>932</v>
      </c>
      <c r="B104" s="237"/>
      <c r="C104" s="364"/>
      <c r="D104" s="364"/>
      <c r="E104" s="365"/>
      <c r="F104" s="366"/>
      <c r="G104" s="364"/>
      <c r="H104" s="367"/>
      <c r="I104" s="366"/>
      <c r="J104" s="364"/>
      <c r="K104" s="365"/>
    </row>
    <row r="105" spans="1:11" ht="13.15" customHeight="1" x14ac:dyDescent="0.25">
      <c r="A105" s="20" t="s">
        <v>933</v>
      </c>
      <c r="B105" s="237"/>
      <c r="C105" s="368"/>
      <c r="D105" s="368"/>
      <c r="E105" s="369"/>
      <c r="F105" s="370"/>
      <c r="G105" s="368"/>
      <c r="H105" s="371"/>
      <c r="I105" s="370"/>
      <c r="J105" s="368"/>
      <c r="K105" s="369"/>
    </row>
    <row r="106" spans="1:11" ht="13.15" customHeight="1" x14ac:dyDescent="0.25">
      <c r="A106" s="20" t="s">
        <v>934</v>
      </c>
      <c r="B106" s="237"/>
      <c r="C106" s="368"/>
      <c r="D106" s="368"/>
      <c r="E106" s="369"/>
      <c r="F106" s="370"/>
      <c r="G106" s="368"/>
      <c r="H106" s="371"/>
      <c r="I106" s="370"/>
      <c r="J106" s="368"/>
      <c r="K106" s="369"/>
    </row>
    <row r="107" spans="1:11" ht="13.15" customHeight="1" x14ac:dyDescent="0.25">
      <c r="A107" s="20" t="s">
        <v>935</v>
      </c>
      <c r="B107" s="237"/>
      <c r="C107" s="368"/>
      <c r="D107" s="368"/>
      <c r="E107" s="369"/>
      <c r="F107" s="370"/>
      <c r="G107" s="368"/>
      <c r="H107" s="371"/>
      <c r="I107" s="370"/>
      <c r="J107" s="368"/>
      <c r="K107" s="369"/>
    </row>
    <row r="108" spans="1:11" ht="13.15" customHeight="1" x14ac:dyDescent="0.25">
      <c r="A108" s="20" t="s">
        <v>936</v>
      </c>
      <c r="B108" s="237"/>
      <c r="C108" s="368"/>
      <c r="D108" s="368"/>
      <c r="E108" s="369"/>
      <c r="F108" s="370"/>
      <c r="G108" s="368"/>
      <c r="H108" s="371"/>
      <c r="I108" s="370"/>
      <c r="J108" s="368"/>
      <c r="K108" s="369"/>
    </row>
    <row r="109" spans="1:11" ht="5.0999999999999996" customHeight="1" x14ac:dyDescent="0.25">
      <c r="A109" s="21"/>
      <c r="B109" s="237"/>
      <c r="C109" s="23"/>
      <c r="D109" s="23"/>
      <c r="E109" s="240"/>
      <c r="F109" s="241"/>
      <c r="G109" s="23"/>
      <c r="H109" s="22"/>
      <c r="I109" s="241"/>
      <c r="J109" s="23"/>
      <c r="K109" s="240"/>
    </row>
    <row r="110" spans="1:11" ht="13.15" customHeight="1" x14ac:dyDescent="0.25">
      <c r="A110" s="19" t="s">
        <v>188</v>
      </c>
      <c r="B110" s="237"/>
      <c r="C110" s="26">
        <f>+C111+C114</f>
        <v>0</v>
      </c>
      <c r="D110" s="26">
        <f t="shared" ref="D110:K110" si="14">+D111+D114</f>
        <v>0</v>
      </c>
      <c r="E110" s="233">
        <f t="shared" si="14"/>
        <v>0</v>
      </c>
      <c r="F110" s="232">
        <f t="shared" si="14"/>
        <v>0</v>
      </c>
      <c r="G110" s="26">
        <f t="shared" si="14"/>
        <v>0</v>
      </c>
      <c r="H110" s="25">
        <f t="shared" si="14"/>
        <v>0</v>
      </c>
      <c r="I110" s="232">
        <f t="shared" si="14"/>
        <v>0</v>
      </c>
      <c r="J110" s="26">
        <f t="shared" si="14"/>
        <v>0</v>
      </c>
      <c r="K110" s="233">
        <f t="shared" si="14"/>
        <v>0</v>
      </c>
    </row>
    <row r="111" spans="1:11" ht="13.15" customHeight="1" x14ac:dyDescent="0.25">
      <c r="A111" s="20" t="s">
        <v>937</v>
      </c>
      <c r="B111" s="237"/>
      <c r="C111" s="48">
        <f t="shared" ref="C111:K111" si="15">SUM(C112:C113)</f>
        <v>0</v>
      </c>
      <c r="D111" s="48">
        <f t="shared" si="15"/>
        <v>0</v>
      </c>
      <c r="E111" s="48">
        <f t="shared" si="15"/>
        <v>0</v>
      </c>
      <c r="F111" s="49">
        <f t="shared" si="15"/>
        <v>0</v>
      </c>
      <c r="G111" s="48">
        <f t="shared" si="15"/>
        <v>0</v>
      </c>
      <c r="H111" s="100">
        <f t="shared" si="15"/>
        <v>0</v>
      </c>
      <c r="I111" s="318">
        <f t="shared" si="15"/>
        <v>0</v>
      </c>
      <c r="J111" s="48">
        <f t="shared" si="15"/>
        <v>0</v>
      </c>
      <c r="K111" s="100">
        <f t="shared" si="15"/>
        <v>0</v>
      </c>
    </row>
    <row r="112" spans="1:11" ht="13.15" customHeight="1" x14ac:dyDescent="0.25">
      <c r="A112" s="238" t="s">
        <v>938</v>
      </c>
      <c r="B112" s="237"/>
      <c r="C112" s="354"/>
      <c r="D112" s="354"/>
      <c r="E112" s="357"/>
      <c r="F112" s="356"/>
      <c r="G112" s="354"/>
      <c r="H112" s="357"/>
      <c r="I112" s="356"/>
      <c r="J112" s="354"/>
      <c r="K112" s="361"/>
    </row>
    <row r="113" spans="1:11" ht="13.15" customHeight="1" x14ac:dyDescent="0.25">
      <c r="A113" s="238" t="s">
        <v>939</v>
      </c>
      <c r="B113" s="237"/>
      <c r="C113" s="354"/>
      <c r="D113" s="354"/>
      <c r="E113" s="355"/>
      <c r="F113" s="356"/>
      <c r="G113" s="354"/>
      <c r="H113" s="357"/>
      <c r="I113" s="356"/>
      <c r="J113" s="354"/>
      <c r="K113" s="361"/>
    </row>
    <row r="114" spans="1:11" ht="13.15" customHeight="1" x14ac:dyDescent="0.25">
      <c r="A114" s="20" t="s">
        <v>940</v>
      </c>
      <c r="B114" s="237"/>
      <c r="C114" s="23">
        <f>SUM(C115:C116)</f>
        <v>0</v>
      </c>
      <c r="D114" s="23">
        <f t="shared" ref="D114:K114" si="16">SUM(D115:D116)</f>
        <v>0</v>
      </c>
      <c r="E114" s="23">
        <f t="shared" si="16"/>
        <v>0</v>
      </c>
      <c r="F114" s="24">
        <f t="shared" si="16"/>
        <v>0</v>
      </c>
      <c r="G114" s="23">
        <f t="shared" si="16"/>
        <v>0</v>
      </c>
      <c r="H114" s="83">
        <f t="shared" si="16"/>
        <v>0</v>
      </c>
      <c r="I114" s="319">
        <f t="shared" si="16"/>
        <v>0</v>
      </c>
      <c r="J114" s="23">
        <f t="shared" si="16"/>
        <v>0</v>
      </c>
      <c r="K114" s="83">
        <f t="shared" si="16"/>
        <v>0</v>
      </c>
    </row>
    <row r="115" spans="1:11" ht="13.15" customHeight="1" x14ac:dyDescent="0.25">
      <c r="A115" s="238" t="s">
        <v>938</v>
      </c>
      <c r="B115" s="237"/>
      <c r="C115" s="354"/>
      <c r="D115" s="354"/>
      <c r="E115" s="357"/>
      <c r="F115" s="356"/>
      <c r="G115" s="354"/>
      <c r="H115" s="357"/>
      <c r="I115" s="356"/>
      <c r="J115" s="354"/>
      <c r="K115" s="361"/>
    </row>
    <row r="116" spans="1:11" ht="13.15" customHeight="1" x14ac:dyDescent="0.25">
      <c r="A116" s="238" t="s">
        <v>939</v>
      </c>
      <c r="B116" s="237"/>
      <c r="C116" s="354"/>
      <c r="D116" s="354"/>
      <c r="E116" s="355"/>
      <c r="F116" s="356"/>
      <c r="G116" s="354"/>
      <c r="H116" s="357"/>
      <c r="I116" s="356"/>
      <c r="J116" s="354"/>
      <c r="K116" s="361"/>
    </row>
    <row r="117" spans="1:11" ht="5.0999999999999996" customHeight="1" x14ac:dyDescent="0.25">
      <c r="A117" s="21"/>
      <c r="B117" s="237"/>
      <c r="C117" s="23"/>
      <c r="D117" s="23"/>
      <c r="E117" s="240"/>
      <c r="F117" s="241"/>
      <c r="G117" s="23"/>
      <c r="H117" s="22"/>
      <c r="I117" s="241"/>
      <c r="J117" s="23"/>
      <c r="K117" s="240"/>
    </row>
    <row r="118" spans="1:11" ht="13.15" customHeight="1" x14ac:dyDescent="0.25">
      <c r="A118" s="19" t="s">
        <v>189</v>
      </c>
      <c r="B118" s="237"/>
      <c r="C118" s="26">
        <f>+C119+C131</f>
        <v>118853</v>
      </c>
      <c r="D118" s="26">
        <f t="shared" ref="D118:K118" si="17">+D119+D131</f>
        <v>161314</v>
      </c>
      <c r="E118" s="233">
        <f t="shared" si="17"/>
        <v>180602</v>
      </c>
      <c r="F118" s="232">
        <f t="shared" si="17"/>
        <v>150000</v>
      </c>
      <c r="G118" s="26">
        <f t="shared" si="17"/>
        <v>250000</v>
      </c>
      <c r="H118" s="25">
        <f t="shared" si="17"/>
        <v>250000</v>
      </c>
      <c r="I118" s="232">
        <f t="shared" si="17"/>
        <v>150000</v>
      </c>
      <c r="J118" s="26">
        <f t="shared" si="17"/>
        <v>157500</v>
      </c>
      <c r="K118" s="233">
        <f t="shared" si="17"/>
        <v>165375</v>
      </c>
    </row>
    <row r="119" spans="1:11" ht="13.15" customHeight="1" x14ac:dyDescent="0.25">
      <c r="A119" s="20" t="s">
        <v>941</v>
      </c>
      <c r="B119" s="237"/>
      <c r="C119" s="48">
        <f>SUM(C120:C130)</f>
        <v>118853</v>
      </c>
      <c r="D119" s="48">
        <f t="shared" ref="D119:K119" si="18">SUM(D120:D130)</f>
        <v>161314</v>
      </c>
      <c r="E119" s="48">
        <f t="shared" si="18"/>
        <v>180602</v>
      </c>
      <c r="F119" s="49">
        <f t="shared" si="18"/>
        <v>150000</v>
      </c>
      <c r="G119" s="48">
        <f t="shared" si="18"/>
        <v>250000</v>
      </c>
      <c r="H119" s="100">
        <f t="shared" si="18"/>
        <v>250000</v>
      </c>
      <c r="I119" s="318">
        <f t="shared" si="18"/>
        <v>150000</v>
      </c>
      <c r="J119" s="48">
        <f t="shared" si="18"/>
        <v>157500</v>
      </c>
      <c r="K119" s="100">
        <f t="shared" si="18"/>
        <v>165375</v>
      </c>
    </row>
    <row r="120" spans="1:11" ht="13.15" customHeight="1" x14ac:dyDescent="0.25">
      <c r="A120" s="238" t="s">
        <v>942</v>
      </c>
      <c r="B120" s="237"/>
      <c r="C120" s="354">
        <v>118853</v>
      </c>
      <c r="D120" s="354">
        <v>161314</v>
      </c>
      <c r="E120" s="357">
        <v>180602</v>
      </c>
      <c r="F120" s="356">
        <v>150000</v>
      </c>
      <c r="G120" s="354">
        <v>250000</v>
      </c>
      <c r="H120" s="357">
        <f>G120</f>
        <v>250000</v>
      </c>
      <c r="I120" s="356">
        <v>150000</v>
      </c>
      <c r="J120" s="354">
        <f>I120*1.05</f>
        <v>157500</v>
      </c>
      <c r="K120" s="354">
        <f>J120*1.05</f>
        <v>165375</v>
      </c>
    </row>
    <row r="121" spans="1:11" ht="13.15" customHeight="1" x14ac:dyDescent="0.25">
      <c r="A121" s="238" t="s">
        <v>943</v>
      </c>
      <c r="B121" s="237"/>
      <c r="C121" s="354"/>
      <c r="D121" s="354"/>
      <c r="E121" s="357"/>
      <c r="F121" s="356"/>
      <c r="G121" s="354"/>
      <c r="H121" s="357"/>
      <c r="I121" s="356"/>
      <c r="J121" s="354"/>
      <c r="K121" s="361"/>
    </row>
    <row r="122" spans="1:11" ht="13.15" customHeight="1" x14ac:dyDescent="0.25">
      <c r="A122" s="238" t="s">
        <v>944</v>
      </c>
      <c r="B122" s="237"/>
      <c r="C122" s="354"/>
      <c r="D122" s="354"/>
      <c r="E122" s="357"/>
      <c r="F122" s="356"/>
      <c r="G122" s="354"/>
      <c r="H122" s="357"/>
      <c r="I122" s="356"/>
      <c r="J122" s="354"/>
      <c r="K122" s="361"/>
    </row>
    <row r="123" spans="1:11" ht="13.15" customHeight="1" x14ac:dyDescent="0.25">
      <c r="A123" s="238" t="s">
        <v>945</v>
      </c>
      <c r="B123" s="237"/>
      <c r="C123" s="354"/>
      <c r="D123" s="354"/>
      <c r="E123" s="357"/>
      <c r="F123" s="356"/>
      <c r="G123" s="354"/>
      <c r="H123" s="357"/>
      <c r="I123" s="356"/>
      <c r="J123" s="354"/>
      <c r="K123" s="361"/>
    </row>
    <row r="124" spans="1:11" ht="13.15" customHeight="1" x14ac:dyDescent="0.25">
      <c r="A124" s="238" t="s">
        <v>946</v>
      </c>
      <c r="B124" s="237"/>
      <c r="C124" s="354"/>
      <c r="D124" s="354"/>
      <c r="E124" s="357"/>
      <c r="F124" s="356"/>
      <c r="G124" s="354"/>
      <c r="H124" s="357"/>
      <c r="I124" s="356"/>
      <c r="J124" s="354"/>
      <c r="K124" s="361"/>
    </row>
    <row r="125" spans="1:11" ht="13.15" customHeight="1" x14ac:dyDescent="0.25">
      <c r="A125" s="238" t="s">
        <v>947</v>
      </c>
      <c r="B125" s="237"/>
      <c r="C125" s="354"/>
      <c r="D125" s="354"/>
      <c r="E125" s="357"/>
      <c r="F125" s="356"/>
      <c r="G125" s="354"/>
      <c r="H125" s="357"/>
      <c r="I125" s="356"/>
      <c r="J125" s="354"/>
      <c r="K125" s="361"/>
    </row>
    <row r="126" spans="1:11" ht="13.15" customHeight="1" x14ac:dyDescent="0.25">
      <c r="A126" s="238" t="s">
        <v>948</v>
      </c>
      <c r="B126" s="237"/>
      <c r="C126" s="354"/>
      <c r="D126" s="354"/>
      <c r="E126" s="357"/>
      <c r="F126" s="356"/>
      <c r="G126" s="354"/>
      <c r="H126" s="357"/>
      <c r="I126" s="356"/>
      <c r="J126" s="354"/>
      <c r="K126" s="361"/>
    </row>
    <row r="127" spans="1:11" ht="13.15" customHeight="1" x14ac:dyDescent="0.25">
      <c r="A127" s="238" t="s">
        <v>949</v>
      </c>
      <c r="B127" s="237"/>
      <c r="C127" s="354"/>
      <c r="D127" s="354"/>
      <c r="E127" s="357"/>
      <c r="F127" s="356"/>
      <c r="G127" s="354"/>
      <c r="H127" s="357"/>
      <c r="I127" s="356"/>
      <c r="J127" s="354"/>
      <c r="K127" s="361"/>
    </row>
    <row r="128" spans="1:11" ht="13.15" customHeight="1" x14ac:dyDescent="0.25">
      <c r="A128" s="238" t="s">
        <v>950</v>
      </c>
      <c r="B128" s="237"/>
      <c r="C128" s="354"/>
      <c r="D128" s="354"/>
      <c r="E128" s="357"/>
      <c r="F128" s="356"/>
      <c r="G128" s="354"/>
      <c r="H128" s="357"/>
      <c r="I128" s="356"/>
      <c r="J128" s="354"/>
      <c r="K128" s="361"/>
    </row>
    <row r="129" spans="1:11" ht="13.15" customHeight="1" x14ac:dyDescent="0.25">
      <c r="A129" s="238" t="s">
        <v>951</v>
      </c>
      <c r="B129" s="237"/>
      <c r="C129" s="354"/>
      <c r="D129" s="354"/>
      <c r="E129" s="357"/>
      <c r="F129" s="356"/>
      <c r="G129" s="354"/>
      <c r="H129" s="357"/>
      <c r="I129" s="356"/>
      <c r="J129" s="354"/>
      <c r="K129" s="361"/>
    </row>
    <row r="130" spans="1:11" ht="13.15" customHeight="1" x14ac:dyDescent="0.25">
      <c r="A130" s="238" t="s">
        <v>861</v>
      </c>
      <c r="B130" s="237"/>
      <c r="C130" s="354"/>
      <c r="D130" s="354"/>
      <c r="E130" s="357"/>
      <c r="F130" s="356"/>
      <c r="G130" s="354"/>
      <c r="H130" s="357"/>
      <c r="I130" s="356"/>
      <c r="J130" s="354"/>
      <c r="K130" s="361"/>
    </row>
    <row r="131" spans="1:11" ht="13.15" customHeight="1" x14ac:dyDescent="0.25">
      <c r="A131" s="20" t="s">
        <v>952</v>
      </c>
      <c r="B131" s="237"/>
      <c r="C131" s="23">
        <f>SUM(C132:C134)</f>
        <v>0</v>
      </c>
      <c r="D131" s="23">
        <f t="shared" ref="D131:K131" si="19">SUM(D132:D134)</f>
        <v>0</v>
      </c>
      <c r="E131" s="23">
        <f t="shared" si="19"/>
        <v>0</v>
      </c>
      <c r="F131" s="24">
        <f t="shared" si="19"/>
        <v>0</v>
      </c>
      <c r="G131" s="23">
        <f t="shared" si="19"/>
        <v>0</v>
      </c>
      <c r="H131" s="83">
        <f t="shared" si="19"/>
        <v>0</v>
      </c>
      <c r="I131" s="319">
        <f t="shared" si="19"/>
        <v>0</v>
      </c>
      <c r="J131" s="23">
        <f t="shared" si="19"/>
        <v>0</v>
      </c>
      <c r="K131" s="83">
        <f t="shared" si="19"/>
        <v>0</v>
      </c>
    </row>
    <row r="132" spans="1:11" ht="13.15" customHeight="1" x14ac:dyDescent="0.25">
      <c r="A132" s="238" t="s">
        <v>953</v>
      </c>
      <c r="B132" s="237"/>
      <c r="C132" s="354"/>
      <c r="D132" s="354"/>
      <c r="E132" s="357"/>
      <c r="F132" s="356"/>
      <c r="G132" s="354"/>
      <c r="H132" s="357"/>
      <c r="I132" s="356"/>
      <c r="J132" s="354"/>
      <c r="K132" s="361"/>
    </row>
    <row r="133" spans="1:11" ht="13.15" customHeight="1" x14ac:dyDescent="0.25">
      <c r="A133" s="238" t="s">
        <v>954</v>
      </c>
      <c r="B133" s="237"/>
      <c r="C133" s="354"/>
      <c r="D133" s="354"/>
      <c r="E133" s="357"/>
      <c r="F133" s="356"/>
      <c r="G133" s="354"/>
      <c r="H133" s="357"/>
      <c r="I133" s="356"/>
      <c r="J133" s="354"/>
      <c r="K133" s="361"/>
    </row>
    <row r="134" spans="1:11" ht="13.15" customHeight="1" x14ac:dyDescent="0.25">
      <c r="A134" s="238" t="s">
        <v>861</v>
      </c>
      <c r="B134" s="237"/>
      <c r="C134" s="354"/>
      <c r="D134" s="354"/>
      <c r="E134" s="357"/>
      <c r="F134" s="356"/>
      <c r="G134" s="354"/>
      <c r="H134" s="357"/>
      <c r="I134" s="356"/>
      <c r="J134" s="354"/>
      <c r="K134" s="361"/>
    </row>
    <row r="135" spans="1:11" ht="5.0999999999999996" customHeight="1" x14ac:dyDescent="0.25">
      <c r="A135" s="242"/>
      <c r="B135" s="237"/>
      <c r="C135" s="23"/>
      <c r="D135" s="23"/>
      <c r="E135" s="240"/>
      <c r="F135" s="241"/>
      <c r="G135" s="23"/>
      <c r="H135" s="22"/>
      <c r="I135" s="241"/>
      <c r="J135" s="23"/>
      <c r="K135" s="240"/>
    </row>
    <row r="136" spans="1:11" ht="13.15" customHeight="1" x14ac:dyDescent="0.25">
      <c r="A136" s="19" t="s">
        <v>955</v>
      </c>
      <c r="B136" s="237"/>
      <c r="C136" s="23">
        <f t="shared" ref="C136:K136" si="20">SUM(C137:C137)</f>
        <v>0</v>
      </c>
      <c r="D136" s="23">
        <f t="shared" si="20"/>
        <v>0</v>
      </c>
      <c r="E136" s="240">
        <f t="shared" si="20"/>
        <v>0</v>
      </c>
      <c r="F136" s="241">
        <f t="shared" si="20"/>
        <v>0</v>
      </c>
      <c r="G136" s="23">
        <f t="shared" si="20"/>
        <v>0</v>
      </c>
      <c r="H136" s="22">
        <f t="shared" si="20"/>
        <v>0</v>
      </c>
      <c r="I136" s="241">
        <f t="shared" si="20"/>
        <v>0</v>
      </c>
      <c r="J136" s="23">
        <f t="shared" si="20"/>
        <v>0</v>
      </c>
      <c r="K136" s="240">
        <f t="shared" si="20"/>
        <v>0</v>
      </c>
    </row>
    <row r="137" spans="1:11" ht="13.15" customHeight="1" x14ac:dyDescent="0.25">
      <c r="A137" s="20" t="s">
        <v>955</v>
      </c>
      <c r="B137" s="237"/>
      <c r="C137" s="372"/>
      <c r="D137" s="372"/>
      <c r="E137" s="373"/>
      <c r="F137" s="374"/>
      <c r="G137" s="372"/>
      <c r="H137" s="375"/>
      <c r="I137" s="374"/>
      <c r="J137" s="372"/>
      <c r="K137" s="373"/>
    </row>
    <row r="138" spans="1:11" ht="5.0999999999999996" customHeight="1" x14ac:dyDescent="0.25">
      <c r="A138" s="21"/>
      <c r="B138" s="237"/>
      <c r="C138" s="23"/>
      <c r="D138" s="23"/>
      <c r="E138" s="240"/>
      <c r="F138" s="241"/>
      <c r="G138" s="23"/>
      <c r="H138" s="22"/>
      <c r="I138" s="241"/>
      <c r="J138" s="23"/>
      <c r="K138" s="240"/>
    </row>
    <row r="139" spans="1:11" ht="13.15" customHeight="1" x14ac:dyDescent="0.25">
      <c r="A139" s="19" t="s">
        <v>956</v>
      </c>
      <c r="B139" s="237"/>
      <c r="C139" s="23">
        <f>+C140+C141</f>
        <v>46804</v>
      </c>
      <c r="D139" s="23">
        <f t="shared" ref="D139:K139" si="21">+D140+D141</f>
        <v>295226</v>
      </c>
      <c r="E139" s="240">
        <f t="shared" si="21"/>
        <v>316300</v>
      </c>
      <c r="F139" s="241">
        <f t="shared" si="21"/>
        <v>250000</v>
      </c>
      <c r="G139" s="23">
        <f t="shared" si="21"/>
        <v>500000</v>
      </c>
      <c r="H139" s="22">
        <f t="shared" si="21"/>
        <v>500000</v>
      </c>
      <c r="I139" s="241">
        <f t="shared" si="21"/>
        <v>300000</v>
      </c>
      <c r="J139" s="23">
        <f t="shared" si="21"/>
        <v>315000</v>
      </c>
      <c r="K139" s="240">
        <f t="shared" si="21"/>
        <v>330750</v>
      </c>
    </row>
    <row r="140" spans="1:11" ht="13.15" customHeight="1" x14ac:dyDescent="0.25">
      <c r="A140" s="20" t="s">
        <v>957</v>
      </c>
      <c r="B140" s="237"/>
      <c r="C140" s="372"/>
      <c r="D140" s="372"/>
      <c r="E140" s="373"/>
      <c r="F140" s="374"/>
      <c r="G140" s="372"/>
      <c r="H140" s="375"/>
      <c r="I140" s="374"/>
      <c r="J140" s="372"/>
      <c r="K140" s="373"/>
    </row>
    <row r="141" spans="1:11" ht="13.15" customHeight="1" x14ac:dyDescent="0.25">
      <c r="A141" s="20" t="s">
        <v>958</v>
      </c>
      <c r="B141" s="237"/>
      <c r="C141" s="23">
        <f>SUM(C142:C147)</f>
        <v>46804</v>
      </c>
      <c r="D141" s="23">
        <f t="shared" ref="D141:K141" si="22">SUM(D142:D147)</f>
        <v>295226</v>
      </c>
      <c r="E141" s="23">
        <f t="shared" si="22"/>
        <v>316300</v>
      </c>
      <c r="F141" s="24">
        <f t="shared" si="22"/>
        <v>250000</v>
      </c>
      <c r="G141" s="23">
        <f t="shared" si="22"/>
        <v>500000</v>
      </c>
      <c r="H141" s="83">
        <f t="shared" si="22"/>
        <v>500000</v>
      </c>
      <c r="I141" s="319">
        <f t="shared" si="22"/>
        <v>300000</v>
      </c>
      <c r="J141" s="23">
        <f t="shared" si="22"/>
        <v>315000</v>
      </c>
      <c r="K141" s="83">
        <f t="shared" si="22"/>
        <v>330750</v>
      </c>
    </row>
    <row r="142" spans="1:11" ht="13.15" customHeight="1" x14ac:dyDescent="0.25">
      <c r="A142" s="238" t="s">
        <v>959</v>
      </c>
      <c r="B142" s="237"/>
      <c r="C142" s="354"/>
      <c r="D142" s="354"/>
      <c r="E142" s="357"/>
      <c r="F142" s="356"/>
      <c r="G142" s="354"/>
      <c r="H142" s="357"/>
      <c r="I142" s="356"/>
      <c r="J142" s="354"/>
      <c r="K142" s="361"/>
    </row>
    <row r="143" spans="1:11" ht="13.15" customHeight="1" x14ac:dyDescent="0.25">
      <c r="A143" s="238" t="s">
        <v>960</v>
      </c>
      <c r="B143" s="237"/>
      <c r="C143" s="354"/>
      <c r="D143" s="354"/>
      <c r="E143" s="357"/>
      <c r="F143" s="356"/>
      <c r="G143" s="354"/>
      <c r="H143" s="357"/>
      <c r="I143" s="356"/>
      <c r="J143" s="354"/>
      <c r="K143" s="361"/>
    </row>
    <row r="144" spans="1:11" ht="13.15" customHeight="1" x14ac:dyDescent="0.25">
      <c r="A144" s="238" t="s">
        <v>961</v>
      </c>
      <c r="B144" s="237"/>
      <c r="C144" s="354"/>
      <c r="D144" s="354"/>
      <c r="E144" s="357"/>
      <c r="F144" s="356"/>
      <c r="G144" s="354"/>
      <c r="H144" s="357"/>
      <c r="I144" s="356"/>
      <c r="J144" s="354"/>
      <c r="K144" s="361"/>
    </row>
    <row r="145" spans="1:11" ht="13.15" customHeight="1" x14ac:dyDescent="0.25">
      <c r="A145" s="238" t="s">
        <v>962</v>
      </c>
      <c r="B145" s="237"/>
      <c r="C145" s="354">
        <v>46804</v>
      </c>
      <c r="D145" s="354">
        <v>295226</v>
      </c>
      <c r="E145" s="357">
        <v>316300</v>
      </c>
      <c r="F145" s="356">
        <v>250000</v>
      </c>
      <c r="G145" s="354">
        <v>500000</v>
      </c>
      <c r="H145" s="357">
        <f>G145</f>
        <v>500000</v>
      </c>
      <c r="I145" s="356">
        <v>300000</v>
      </c>
      <c r="J145" s="354">
        <f>I145*1.05</f>
        <v>315000</v>
      </c>
      <c r="K145" s="354">
        <f>J145*1.05</f>
        <v>330750</v>
      </c>
    </row>
    <row r="146" spans="1:11" ht="13.15" customHeight="1" x14ac:dyDescent="0.25">
      <c r="A146" s="238" t="s">
        <v>963</v>
      </c>
      <c r="B146" s="237"/>
      <c r="C146" s="354"/>
      <c r="D146" s="354"/>
      <c r="E146" s="357"/>
      <c r="F146" s="356"/>
      <c r="G146" s="354"/>
      <c r="H146" s="357"/>
      <c r="I146" s="356"/>
      <c r="J146" s="354"/>
      <c r="K146" s="361"/>
    </row>
    <row r="147" spans="1:11" ht="13.15" customHeight="1" x14ac:dyDescent="0.25">
      <c r="A147" s="238" t="s">
        <v>964</v>
      </c>
      <c r="B147" s="237"/>
      <c r="C147" s="354"/>
      <c r="D147" s="354"/>
      <c r="E147" s="357"/>
      <c r="F147" s="356"/>
      <c r="G147" s="354"/>
      <c r="H147" s="357"/>
      <c r="I147" s="356"/>
      <c r="J147" s="354"/>
      <c r="K147" s="361"/>
    </row>
    <row r="148" spans="1:11" ht="5.0999999999999996" customHeight="1" x14ac:dyDescent="0.25">
      <c r="A148" s="21"/>
      <c r="B148" s="237"/>
      <c r="C148" s="26"/>
      <c r="D148" s="26"/>
      <c r="E148" s="233"/>
      <c r="F148" s="232"/>
      <c r="G148" s="26"/>
      <c r="H148" s="25"/>
      <c r="I148" s="232"/>
      <c r="J148" s="26"/>
      <c r="K148" s="233"/>
    </row>
    <row r="149" spans="1:11" ht="13.15" customHeight="1" x14ac:dyDescent="0.25">
      <c r="A149" s="19" t="s">
        <v>965</v>
      </c>
      <c r="B149" s="237"/>
      <c r="C149" s="23">
        <f t="shared" ref="C149:K149" si="23">SUM(C150:C150)</f>
        <v>146018</v>
      </c>
      <c r="D149" s="23">
        <f t="shared" si="23"/>
        <v>156329</v>
      </c>
      <c r="E149" s="240">
        <f t="shared" si="23"/>
        <v>123445</v>
      </c>
      <c r="F149" s="241">
        <f t="shared" si="23"/>
        <v>250000</v>
      </c>
      <c r="G149" s="23">
        <f t="shared" si="23"/>
        <v>100000</v>
      </c>
      <c r="H149" s="22">
        <f t="shared" si="23"/>
        <v>100000</v>
      </c>
      <c r="I149" s="241">
        <f t="shared" si="23"/>
        <v>150000</v>
      </c>
      <c r="J149" s="23">
        <f t="shared" si="23"/>
        <v>157500</v>
      </c>
      <c r="K149" s="240">
        <f t="shared" si="23"/>
        <v>165375</v>
      </c>
    </row>
    <row r="150" spans="1:11" ht="13.15" customHeight="1" x14ac:dyDescent="0.25">
      <c r="A150" s="20" t="s">
        <v>965</v>
      </c>
      <c r="B150" s="237"/>
      <c r="C150" s="372">
        <v>146018</v>
      </c>
      <c r="D150" s="372">
        <v>156329</v>
      </c>
      <c r="E150" s="373">
        <v>123445</v>
      </c>
      <c r="F150" s="374">
        <v>250000</v>
      </c>
      <c r="G150" s="372">
        <v>100000</v>
      </c>
      <c r="H150" s="375">
        <f>G150</f>
        <v>100000</v>
      </c>
      <c r="I150" s="374">
        <v>150000</v>
      </c>
      <c r="J150" s="372">
        <f>I150*1.05</f>
        <v>157500</v>
      </c>
      <c r="K150" s="372">
        <f>J150*1.05</f>
        <v>165375</v>
      </c>
    </row>
    <row r="151" spans="1:11" ht="5.0999999999999996" customHeight="1" x14ac:dyDescent="0.25">
      <c r="A151" s="21"/>
      <c r="B151" s="237"/>
      <c r="C151" s="23"/>
      <c r="D151" s="23"/>
      <c r="E151" s="240"/>
      <c r="F151" s="241"/>
      <c r="G151" s="23"/>
      <c r="H151" s="22"/>
      <c r="I151" s="241"/>
      <c r="J151" s="23"/>
      <c r="K151" s="240"/>
    </row>
    <row r="152" spans="1:11" ht="13.15" customHeight="1" x14ac:dyDescent="0.25">
      <c r="A152" s="19" t="s">
        <v>966</v>
      </c>
      <c r="B152" s="237"/>
      <c r="C152" s="23">
        <f t="shared" ref="C152:K152" si="24">SUM(C153:C153)</f>
        <v>97449</v>
      </c>
      <c r="D152" s="23">
        <f t="shared" si="24"/>
        <v>98772</v>
      </c>
      <c r="E152" s="240">
        <f t="shared" si="24"/>
        <v>94689</v>
      </c>
      <c r="F152" s="241">
        <f t="shared" si="24"/>
        <v>100000</v>
      </c>
      <c r="G152" s="23">
        <f t="shared" si="24"/>
        <v>110000</v>
      </c>
      <c r="H152" s="22">
        <f t="shared" si="24"/>
        <v>110000</v>
      </c>
      <c r="I152" s="241">
        <f t="shared" si="24"/>
        <v>125000</v>
      </c>
      <c r="J152" s="23">
        <f t="shared" si="24"/>
        <v>131250</v>
      </c>
      <c r="K152" s="240">
        <f t="shared" si="24"/>
        <v>137812.5</v>
      </c>
    </row>
    <row r="153" spans="1:11" ht="13.15" customHeight="1" x14ac:dyDescent="0.25">
      <c r="A153" s="20" t="s">
        <v>966</v>
      </c>
      <c r="B153" s="237"/>
      <c r="C153" s="372">
        <v>97449</v>
      </c>
      <c r="D153" s="372">
        <v>98772</v>
      </c>
      <c r="E153" s="373">
        <v>94689</v>
      </c>
      <c r="F153" s="374">
        <v>100000</v>
      </c>
      <c r="G153" s="372">
        <v>110000</v>
      </c>
      <c r="H153" s="375">
        <f>G153</f>
        <v>110000</v>
      </c>
      <c r="I153" s="374">
        <v>125000</v>
      </c>
      <c r="J153" s="372">
        <f>I153*1.05</f>
        <v>131250</v>
      </c>
      <c r="K153" s="372">
        <f>J153*1.05</f>
        <v>137812.5</v>
      </c>
    </row>
    <row r="154" spans="1:11" ht="5.0999999999999996" customHeight="1" x14ac:dyDescent="0.25">
      <c r="A154" s="21"/>
      <c r="B154" s="237"/>
      <c r="C154" s="23"/>
      <c r="D154" s="23"/>
      <c r="E154" s="240"/>
      <c r="F154" s="241"/>
      <c r="G154" s="23"/>
      <c r="H154" s="22"/>
      <c r="I154" s="241"/>
      <c r="J154" s="23"/>
      <c r="K154" s="240"/>
    </row>
    <row r="155" spans="1:11" ht="13.15" customHeight="1" x14ac:dyDescent="0.25">
      <c r="A155" s="19" t="s">
        <v>967</v>
      </c>
      <c r="B155" s="237"/>
      <c r="C155" s="23">
        <f t="shared" ref="C155:K155" si="25">SUM(C156:C156)</f>
        <v>16382</v>
      </c>
      <c r="D155" s="23">
        <f t="shared" si="25"/>
        <v>22877</v>
      </c>
      <c r="E155" s="240">
        <f t="shared" si="25"/>
        <v>24006</v>
      </c>
      <c r="F155" s="241">
        <f t="shared" si="25"/>
        <v>50000</v>
      </c>
      <c r="G155" s="23">
        <f t="shared" si="25"/>
        <v>25000</v>
      </c>
      <c r="H155" s="22">
        <f t="shared" si="25"/>
        <v>25000</v>
      </c>
      <c r="I155" s="241">
        <f t="shared" si="25"/>
        <v>25000</v>
      </c>
      <c r="J155" s="23">
        <f t="shared" si="25"/>
        <v>26250</v>
      </c>
      <c r="K155" s="240">
        <f t="shared" si="25"/>
        <v>27562.5</v>
      </c>
    </row>
    <row r="156" spans="1:11" ht="13.15" customHeight="1" x14ac:dyDescent="0.25">
      <c r="A156" s="20" t="s">
        <v>967</v>
      </c>
      <c r="B156" s="237"/>
      <c r="C156" s="372">
        <v>16382</v>
      </c>
      <c r="D156" s="372">
        <v>22877</v>
      </c>
      <c r="E156" s="373">
        <v>24006</v>
      </c>
      <c r="F156" s="374">
        <v>50000</v>
      </c>
      <c r="G156" s="372">
        <v>25000</v>
      </c>
      <c r="H156" s="375">
        <f>G156</f>
        <v>25000</v>
      </c>
      <c r="I156" s="374">
        <v>25000</v>
      </c>
      <c r="J156" s="372">
        <f>I156*1.05</f>
        <v>26250</v>
      </c>
      <c r="K156" s="372">
        <f>J156*1.05</f>
        <v>27562.5</v>
      </c>
    </row>
    <row r="157" spans="1:11" ht="5.0999999999999996" customHeight="1" x14ac:dyDescent="0.25">
      <c r="A157" s="21"/>
      <c r="B157" s="237"/>
      <c r="C157" s="23"/>
      <c r="D157" s="23"/>
      <c r="E157" s="240"/>
      <c r="F157" s="241"/>
      <c r="G157" s="23"/>
      <c r="H157" s="22"/>
      <c r="I157" s="241"/>
      <c r="J157" s="23"/>
      <c r="K157" s="240"/>
    </row>
    <row r="158" spans="1:11" ht="13.15" customHeight="1" x14ac:dyDescent="0.25">
      <c r="A158" s="19" t="s">
        <v>968</v>
      </c>
      <c r="B158" s="237"/>
      <c r="C158" s="23">
        <f t="shared" ref="C158:K158" si="26">SUM(C159:C159)</f>
        <v>0</v>
      </c>
      <c r="D158" s="23">
        <f t="shared" si="26"/>
        <v>0</v>
      </c>
      <c r="E158" s="240">
        <f t="shared" si="26"/>
        <v>0</v>
      </c>
      <c r="F158" s="241">
        <f t="shared" si="26"/>
        <v>0</v>
      </c>
      <c r="G158" s="23">
        <f t="shared" si="26"/>
        <v>0</v>
      </c>
      <c r="H158" s="22">
        <f t="shared" si="26"/>
        <v>0</v>
      </c>
      <c r="I158" s="241">
        <f t="shared" si="26"/>
        <v>0</v>
      </c>
      <c r="J158" s="23">
        <f t="shared" si="26"/>
        <v>0</v>
      </c>
      <c r="K158" s="240">
        <f t="shared" si="26"/>
        <v>0</v>
      </c>
    </row>
    <row r="159" spans="1:11" ht="13.15" customHeight="1" x14ac:dyDescent="0.25">
      <c r="A159" s="20" t="s">
        <v>968</v>
      </c>
      <c r="B159" s="237"/>
      <c r="C159" s="372"/>
      <c r="D159" s="372"/>
      <c r="E159" s="373"/>
      <c r="F159" s="374"/>
      <c r="G159" s="372"/>
      <c r="H159" s="375"/>
      <c r="I159" s="374"/>
      <c r="J159" s="372"/>
      <c r="K159" s="373"/>
    </row>
    <row r="160" spans="1:11" ht="5.0999999999999996" customHeight="1" x14ac:dyDescent="0.25">
      <c r="A160" s="21"/>
      <c r="B160" s="237"/>
      <c r="C160" s="23"/>
      <c r="D160" s="23"/>
      <c r="E160" s="240"/>
      <c r="F160" s="241"/>
      <c r="G160" s="23"/>
      <c r="H160" s="22"/>
      <c r="I160" s="241"/>
      <c r="J160" s="23"/>
      <c r="K160" s="240"/>
    </row>
    <row r="161" spans="1:11" ht="13.15" customHeight="1" x14ac:dyDescent="0.25">
      <c r="A161" s="19" t="s">
        <v>983</v>
      </c>
      <c r="B161" s="237"/>
      <c r="C161" s="23">
        <f t="shared" ref="C161:K161" si="27">SUM(C162:C162)</f>
        <v>0</v>
      </c>
      <c r="D161" s="23">
        <f t="shared" si="27"/>
        <v>0</v>
      </c>
      <c r="E161" s="240">
        <f t="shared" si="27"/>
        <v>0</v>
      </c>
      <c r="F161" s="241">
        <f t="shared" si="27"/>
        <v>0</v>
      </c>
      <c r="G161" s="23">
        <f t="shared" si="27"/>
        <v>0</v>
      </c>
      <c r="H161" s="22">
        <f t="shared" si="27"/>
        <v>0</v>
      </c>
      <c r="I161" s="241">
        <f t="shared" si="27"/>
        <v>0</v>
      </c>
      <c r="J161" s="23">
        <f t="shared" si="27"/>
        <v>0</v>
      </c>
      <c r="K161" s="240">
        <f t="shared" si="27"/>
        <v>0</v>
      </c>
    </row>
    <row r="162" spans="1:11" ht="13.15" customHeight="1" x14ac:dyDescent="0.25">
      <c r="A162" s="20" t="s">
        <v>983</v>
      </c>
      <c r="B162" s="237"/>
      <c r="C162" s="372"/>
      <c r="D162" s="372"/>
      <c r="E162" s="373"/>
      <c r="F162" s="374"/>
      <c r="G162" s="372"/>
      <c r="H162" s="375"/>
      <c r="I162" s="374"/>
      <c r="J162" s="372"/>
      <c r="K162" s="373"/>
    </row>
    <row r="163" spans="1:11" ht="5.0999999999999996" customHeight="1" x14ac:dyDescent="0.25">
      <c r="A163" s="21"/>
      <c r="B163" s="237"/>
      <c r="C163" s="23"/>
      <c r="D163" s="23"/>
      <c r="E163" s="240"/>
      <c r="F163" s="241"/>
      <c r="G163" s="23"/>
      <c r="H163" s="22"/>
      <c r="I163" s="241"/>
      <c r="J163" s="23"/>
      <c r="K163" s="240"/>
    </row>
    <row r="164" spans="1:11" ht="13.15" customHeight="1" x14ac:dyDescent="0.25">
      <c r="A164" s="19" t="s">
        <v>969</v>
      </c>
      <c r="B164" s="237"/>
      <c r="C164" s="23">
        <f t="shared" ref="C164:K164" si="28">SUM(C165:C165)</f>
        <v>0</v>
      </c>
      <c r="D164" s="23">
        <f t="shared" si="28"/>
        <v>0</v>
      </c>
      <c r="E164" s="240">
        <f t="shared" si="28"/>
        <v>0</v>
      </c>
      <c r="F164" s="241">
        <f t="shared" si="28"/>
        <v>0</v>
      </c>
      <c r="G164" s="23">
        <f t="shared" si="28"/>
        <v>0</v>
      </c>
      <c r="H164" s="22">
        <f t="shared" si="28"/>
        <v>0</v>
      </c>
      <c r="I164" s="241">
        <f t="shared" si="28"/>
        <v>0</v>
      </c>
      <c r="J164" s="23">
        <f t="shared" si="28"/>
        <v>0</v>
      </c>
      <c r="K164" s="240">
        <f t="shared" si="28"/>
        <v>0</v>
      </c>
    </row>
    <row r="165" spans="1:11" ht="13.15" customHeight="1" x14ac:dyDescent="0.25">
      <c r="A165" s="20" t="s">
        <v>969</v>
      </c>
      <c r="B165" s="237"/>
      <c r="C165" s="372"/>
      <c r="D165" s="372"/>
      <c r="E165" s="373"/>
      <c r="F165" s="374"/>
      <c r="G165" s="372"/>
      <c r="H165" s="375"/>
      <c r="I165" s="374"/>
      <c r="J165" s="372"/>
      <c r="K165" s="373"/>
    </row>
    <row r="166" spans="1:11" ht="5.0999999999999996" customHeight="1" x14ac:dyDescent="0.25">
      <c r="A166" s="21"/>
      <c r="B166" s="237"/>
      <c r="C166" s="23"/>
      <c r="D166" s="23"/>
      <c r="E166" s="240"/>
      <c r="F166" s="241"/>
      <c r="G166" s="23"/>
      <c r="H166" s="22"/>
      <c r="I166" s="241"/>
      <c r="J166" s="23"/>
      <c r="K166" s="240"/>
    </row>
    <row r="167" spans="1:11" ht="13.15" customHeight="1" x14ac:dyDescent="0.25">
      <c r="A167" s="211" t="s">
        <v>974</v>
      </c>
      <c r="B167" s="376"/>
      <c r="C167" s="29">
        <f>C6+C74+C103+C110+C118+C136+C139+C149+C152+C155+C158+C161+C164</f>
        <v>425506</v>
      </c>
      <c r="D167" s="29">
        <f t="shared" ref="D167:K167" si="29">D6+D74+D103+D110+D118+D136+D139+D149+D152+D155+D158+D161+D164</f>
        <v>734518</v>
      </c>
      <c r="E167" s="377">
        <f t="shared" si="29"/>
        <v>739042</v>
      </c>
      <c r="F167" s="378">
        <f t="shared" si="29"/>
        <v>800000</v>
      </c>
      <c r="G167" s="29">
        <f t="shared" si="29"/>
        <v>985000</v>
      </c>
      <c r="H167" s="379">
        <f t="shared" si="29"/>
        <v>985000</v>
      </c>
      <c r="I167" s="378">
        <f t="shared" si="29"/>
        <v>750000</v>
      </c>
      <c r="J167" s="29">
        <f t="shared" si="29"/>
        <v>787500</v>
      </c>
      <c r="K167" s="377">
        <f t="shared" si="29"/>
        <v>826875</v>
      </c>
    </row>
    <row r="168" spans="1:11" ht="12.75" customHeight="1" x14ac:dyDescent="0.25">
      <c r="A168" s="31"/>
      <c r="C168" s="35"/>
      <c r="D168" s="35"/>
      <c r="E168" s="35"/>
      <c r="F168" s="35"/>
      <c r="G168" s="35"/>
      <c r="H168" s="35"/>
      <c r="I168" s="35"/>
      <c r="J168" s="35"/>
      <c r="K168" s="35"/>
    </row>
    <row r="169" spans="1:11" ht="12.75" customHeight="1" x14ac:dyDescent="0.25">
      <c r="A169" s="41"/>
      <c r="C169" s="34"/>
      <c r="D169" s="34"/>
      <c r="E169" s="35"/>
      <c r="F169" s="35"/>
      <c r="G169" s="35"/>
      <c r="H169" s="35"/>
      <c r="I169" s="35"/>
      <c r="J169" s="35"/>
      <c r="K169" s="35"/>
    </row>
    <row r="170" spans="1:11" ht="11.25" customHeight="1" x14ac:dyDescent="0.25">
      <c r="C170" s="34"/>
      <c r="D170" s="34"/>
      <c r="E170" s="35"/>
      <c r="F170" s="35"/>
      <c r="G170" s="35"/>
      <c r="H170" s="35"/>
      <c r="I170" s="35"/>
      <c r="J170" s="35"/>
      <c r="K170" s="35"/>
    </row>
    <row r="171" spans="1:11" ht="11.25" customHeight="1" x14ac:dyDescent="0.25"/>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sheetData>
  <sheetProtection sheet="1" objects="1" scenarios="1"/>
  <printOptions horizontalCentered="1"/>
  <pageMargins left="0.37" right="0.14000000000000001" top="0.79" bottom="0.6" header="0.51181102362204722" footer="0.51"/>
  <pageSetup paperSize="9" scale="7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33">
    <tabColor rgb="FFCCFFCC"/>
    <pageSetUpPr fitToPage="1"/>
  </sheetPr>
  <dimension ref="A1:L204"/>
  <sheetViews>
    <sheetView showGridLines="0" zoomScaleNormal="100" workbookViewId="0">
      <pane xSplit="2" ySplit="3" topLeftCell="C4" activePane="bottomRight" state="frozen"/>
      <selection activeCell="A23" sqref="A23"/>
      <selection pane="topRight" activeCell="A23" sqref="A23"/>
      <selection pane="bottomLeft" activeCell="A23" sqref="A23"/>
      <selection pane="bottomRight" activeCell="A23" sqref="A23"/>
    </sheetView>
  </sheetViews>
  <sheetFormatPr defaultColWidth="9.140625" defaultRowHeight="12.75" x14ac:dyDescent="0.25"/>
  <cols>
    <col min="1" max="1" width="35.7109375" style="17" customWidth="1"/>
    <col min="2" max="2" width="3.140625" style="32" customWidth="1"/>
    <col min="3" max="11" width="8.7109375" style="17" customWidth="1"/>
    <col min="12" max="12" width="9.85546875" style="17" customWidth="1"/>
    <col min="13" max="13" width="9.5703125" style="17" customWidth="1"/>
    <col min="14" max="14" width="9.85546875" style="17" customWidth="1"/>
    <col min="15" max="17" width="9.5703125" style="17" customWidth="1"/>
    <col min="18" max="18" width="9.85546875" style="17" customWidth="1"/>
    <col min="19" max="21" width="9.5703125" style="17" customWidth="1"/>
    <col min="22" max="23" width="9.85546875" style="17" customWidth="1"/>
    <col min="24" max="16384" width="9.140625" style="17"/>
  </cols>
  <sheetData>
    <row r="1" spans="1:12" ht="13.5" x14ac:dyDescent="0.25">
      <c r="A1" s="88" t="str">
        <f>MEB9e</f>
        <v>Harry Gwala Development Agency (Pty) Ltd - Supporting Table SD7e Capital expenditure on upgrading of existing assets by asset class</v>
      </c>
    </row>
    <row r="2" spans="1:12" ht="25.5" x14ac:dyDescent="0.25">
      <c r="A2" s="343" t="str">
        <f>desc</f>
        <v>Description</v>
      </c>
      <c r="B2" s="344" t="str">
        <f>head27</f>
        <v>Ref</v>
      </c>
      <c r="C2" s="85" t="str">
        <f>head1b</f>
        <v>2015/16</v>
      </c>
      <c r="D2" s="18" t="str">
        <f>head1A</f>
        <v>2016/17</v>
      </c>
      <c r="E2" s="80" t="str">
        <f>Head1</f>
        <v>2017/18</v>
      </c>
      <c r="F2" s="106" t="str">
        <f>Head2</f>
        <v>Current Year 2018/19</v>
      </c>
      <c r="G2" s="104"/>
      <c r="H2" s="105"/>
      <c r="I2" s="106" t="str">
        <f>Head3a</f>
        <v>Medium Term Revenue and Expenditure Framework</v>
      </c>
      <c r="J2" s="104"/>
      <c r="K2" s="105"/>
    </row>
    <row r="3" spans="1:12" ht="38.25" x14ac:dyDescent="0.25">
      <c r="A3" s="306" t="s">
        <v>826</v>
      </c>
      <c r="B3" s="251">
        <v>1</v>
      </c>
      <c r="C3" s="252" t="str">
        <f>Head5</f>
        <v>Audited Outcome</v>
      </c>
      <c r="D3" s="253" t="str">
        <f>Head5</f>
        <v>Audited Outcome</v>
      </c>
      <c r="E3" s="254" t="str">
        <f>Head5</f>
        <v>Audited Outcome</v>
      </c>
      <c r="F3" s="341" t="str">
        <f>Head6</f>
        <v>Original Budget</v>
      </c>
      <c r="G3" s="252" t="str">
        <f>Head7</f>
        <v>Adjusted Budget</v>
      </c>
      <c r="H3" s="342" t="str">
        <f>Head8</f>
        <v>Full Year Forecast</v>
      </c>
      <c r="I3" s="341" t="str">
        <f>Head9</f>
        <v>Budget Year 2019/20</v>
      </c>
      <c r="J3" s="252" t="str">
        <f>Head10</f>
        <v>Budget Year +1 2020/21</v>
      </c>
      <c r="K3" s="254" t="str">
        <f>Head11</f>
        <v>Budget Year +2 2021/22</v>
      </c>
    </row>
    <row r="4" spans="1:12" ht="12.75" customHeight="1" x14ac:dyDescent="0.25">
      <c r="A4" s="19" t="s">
        <v>971</v>
      </c>
      <c r="B4" s="345"/>
      <c r="C4" s="24"/>
      <c r="D4" s="23"/>
      <c r="E4" s="83"/>
      <c r="F4" s="24"/>
      <c r="G4" s="23"/>
      <c r="H4" s="83"/>
      <c r="I4" s="24"/>
      <c r="J4" s="23"/>
      <c r="K4" s="83"/>
    </row>
    <row r="5" spans="1:12" ht="5.0999999999999996" customHeight="1" x14ac:dyDescent="0.25">
      <c r="A5" s="19"/>
      <c r="B5" s="345"/>
      <c r="C5" s="24"/>
      <c r="D5" s="23"/>
      <c r="E5" s="83"/>
      <c r="F5" s="24"/>
      <c r="G5" s="23"/>
      <c r="H5" s="83"/>
      <c r="I5" s="24"/>
      <c r="J5" s="23"/>
      <c r="K5" s="83"/>
    </row>
    <row r="6" spans="1:12" ht="13.15" customHeight="1" x14ac:dyDescent="0.25">
      <c r="A6" s="19" t="s">
        <v>162</v>
      </c>
      <c r="B6" s="237"/>
      <c r="C6" s="26">
        <f>C7+C12+C16+C26+C37+C44+C52+C62+C68</f>
        <v>0</v>
      </c>
      <c r="D6" s="26">
        <f t="shared" ref="D6:K6" si="0">D7+D12+D16+D26+D37+D44+D52+D62+D68</f>
        <v>0</v>
      </c>
      <c r="E6" s="233">
        <f t="shared" si="0"/>
        <v>0</v>
      </c>
      <c r="F6" s="232">
        <f t="shared" si="0"/>
        <v>0</v>
      </c>
      <c r="G6" s="26">
        <f t="shared" si="0"/>
        <v>0</v>
      </c>
      <c r="H6" s="25">
        <f t="shared" si="0"/>
        <v>0</v>
      </c>
      <c r="I6" s="232">
        <f t="shared" si="0"/>
        <v>0</v>
      </c>
      <c r="J6" s="26">
        <f t="shared" si="0"/>
        <v>0</v>
      </c>
      <c r="K6" s="233">
        <f t="shared" si="0"/>
        <v>0</v>
      </c>
    </row>
    <row r="7" spans="1:12" s="352" customFormat="1" ht="13.15" customHeight="1" x14ac:dyDescent="0.25">
      <c r="A7" s="20" t="s">
        <v>858</v>
      </c>
      <c r="B7" s="237"/>
      <c r="C7" s="48">
        <f t="shared" ref="C7:K7" si="1">SUM(C8:C11)</f>
        <v>0</v>
      </c>
      <c r="D7" s="48">
        <f t="shared" si="1"/>
        <v>0</v>
      </c>
      <c r="E7" s="317">
        <f t="shared" si="1"/>
        <v>0</v>
      </c>
      <c r="F7" s="49">
        <f t="shared" si="1"/>
        <v>0</v>
      </c>
      <c r="G7" s="48">
        <f t="shared" si="1"/>
        <v>0</v>
      </c>
      <c r="H7" s="100">
        <f t="shared" si="1"/>
        <v>0</v>
      </c>
      <c r="I7" s="49">
        <f t="shared" si="1"/>
        <v>0</v>
      </c>
      <c r="J7" s="48">
        <f t="shared" si="1"/>
        <v>0</v>
      </c>
      <c r="K7" s="100">
        <f t="shared" si="1"/>
        <v>0</v>
      </c>
      <c r="L7" s="17"/>
    </row>
    <row r="8" spans="1:12" s="352" customFormat="1" ht="13.15" customHeight="1" x14ac:dyDescent="0.25">
      <c r="A8" s="238" t="s">
        <v>510</v>
      </c>
      <c r="B8" s="237"/>
      <c r="C8" s="354"/>
      <c r="D8" s="354"/>
      <c r="E8" s="355"/>
      <c r="F8" s="356"/>
      <c r="G8" s="354"/>
      <c r="H8" s="357"/>
      <c r="I8" s="356"/>
      <c r="J8" s="354"/>
      <c r="K8" s="355"/>
      <c r="L8" s="17"/>
    </row>
    <row r="9" spans="1:12" s="352" customFormat="1" ht="13.15" customHeight="1" x14ac:dyDescent="0.25">
      <c r="A9" s="238" t="s">
        <v>859</v>
      </c>
      <c r="B9" s="237"/>
      <c r="C9" s="354"/>
      <c r="D9" s="354"/>
      <c r="E9" s="355"/>
      <c r="F9" s="356"/>
      <c r="G9" s="354"/>
      <c r="H9" s="357"/>
      <c r="I9" s="356"/>
      <c r="J9" s="354"/>
      <c r="K9" s="355"/>
      <c r="L9" s="358"/>
    </row>
    <row r="10" spans="1:12" s="352" customFormat="1" ht="13.15" customHeight="1" x14ac:dyDescent="0.25">
      <c r="A10" s="238" t="s">
        <v>860</v>
      </c>
      <c r="B10" s="237"/>
      <c r="C10" s="354"/>
      <c r="D10" s="354"/>
      <c r="E10" s="355"/>
      <c r="F10" s="356"/>
      <c r="G10" s="354"/>
      <c r="H10" s="357"/>
      <c r="I10" s="356"/>
      <c r="J10" s="354"/>
      <c r="K10" s="355"/>
      <c r="L10" s="358"/>
    </row>
    <row r="11" spans="1:12" s="352" customFormat="1" ht="13.15" customHeight="1" x14ac:dyDescent="0.25">
      <c r="A11" s="238" t="s">
        <v>861</v>
      </c>
      <c r="B11" s="237"/>
      <c r="C11" s="354"/>
      <c r="D11" s="354"/>
      <c r="E11" s="355"/>
      <c r="F11" s="356"/>
      <c r="G11" s="354"/>
      <c r="H11" s="357"/>
      <c r="I11" s="356"/>
      <c r="J11" s="354"/>
      <c r="K11" s="355"/>
      <c r="L11" s="358"/>
    </row>
    <row r="12" spans="1:12" s="352" customFormat="1" ht="13.15" customHeight="1" x14ac:dyDescent="0.25">
      <c r="A12" s="20" t="s">
        <v>862</v>
      </c>
      <c r="B12" s="237"/>
      <c r="C12" s="23">
        <f>SUM(C13:C15)</f>
        <v>0</v>
      </c>
      <c r="D12" s="23">
        <f t="shared" ref="D12:K12" si="2">SUM(D13:D15)</f>
        <v>0</v>
      </c>
      <c r="E12" s="50">
        <f t="shared" si="2"/>
        <v>0</v>
      </c>
      <c r="F12" s="24">
        <f t="shared" si="2"/>
        <v>0</v>
      </c>
      <c r="G12" s="23">
        <f t="shared" si="2"/>
        <v>0</v>
      </c>
      <c r="H12" s="83">
        <f t="shared" si="2"/>
        <v>0</v>
      </c>
      <c r="I12" s="319">
        <f t="shared" si="2"/>
        <v>0</v>
      </c>
      <c r="J12" s="23">
        <f t="shared" si="2"/>
        <v>0</v>
      </c>
      <c r="K12" s="83">
        <f t="shared" si="2"/>
        <v>0</v>
      </c>
      <c r="L12" s="358"/>
    </row>
    <row r="13" spans="1:12" s="352" customFormat="1" ht="13.15" customHeight="1" x14ac:dyDescent="0.25">
      <c r="A13" s="238" t="s">
        <v>863</v>
      </c>
      <c r="B13" s="237"/>
      <c r="C13" s="354"/>
      <c r="D13" s="354"/>
      <c r="E13" s="359"/>
      <c r="F13" s="360"/>
      <c r="G13" s="354"/>
      <c r="H13" s="361"/>
      <c r="I13" s="362"/>
      <c r="J13" s="354"/>
      <c r="K13" s="361"/>
      <c r="L13" s="358"/>
    </row>
    <row r="14" spans="1:12" s="352" customFormat="1" ht="13.15" customHeight="1" x14ac:dyDescent="0.25">
      <c r="A14" s="238" t="s">
        <v>864</v>
      </c>
      <c r="B14" s="237"/>
      <c r="C14" s="354"/>
      <c r="D14" s="354"/>
      <c r="E14" s="359"/>
      <c r="F14" s="360"/>
      <c r="G14" s="354"/>
      <c r="H14" s="361"/>
      <c r="I14" s="362"/>
      <c r="J14" s="354"/>
      <c r="K14" s="361"/>
      <c r="L14" s="358"/>
    </row>
    <row r="15" spans="1:12" s="352" customFormat="1" ht="13.15" customHeight="1" x14ac:dyDescent="0.25">
      <c r="A15" s="238" t="s">
        <v>865</v>
      </c>
      <c r="B15" s="237"/>
      <c r="C15" s="354"/>
      <c r="D15" s="354"/>
      <c r="E15" s="359"/>
      <c r="F15" s="360"/>
      <c r="G15" s="354"/>
      <c r="H15" s="361"/>
      <c r="I15" s="362"/>
      <c r="J15" s="354"/>
      <c r="K15" s="361"/>
      <c r="L15" s="358"/>
    </row>
    <row r="16" spans="1:12" s="352" customFormat="1" ht="13.15" customHeight="1" x14ac:dyDescent="0.25">
      <c r="A16" s="20" t="s">
        <v>866</v>
      </c>
      <c r="B16" s="237"/>
      <c r="C16" s="23">
        <f t="shared" ref="C16:K16" si="3">SUM(C17:C25)</f>
        <v>0</v>
      </c>
      <c r="D16" s="23">
        <f t="shared" si="3"/>
        <v>0</v>
      </c>
      <c r="E16" s="50">
        <f t="shared" si="3"/>
        <v>0</v>
      </c>
      <c r="F16" s="24">
        <f t="shared" si="3"/>
        <v>0</v>
      </c>
      <c r="G16" s="23">
        <f t="shared" si="3"/>
        <v>0</v>
      </c>
      <c r="H16" s="83">
        <f t="shared" si="3"/>
        <v>0</v>
      </c>
      <c r="I16" s="319">
        <f t="shared" si="3"/>
        <v>0</v>
      </c>
      <c r="J16" s="23">
        <f t="shared" si="3"/>
        <v>0</v>
      </c>
      <c r="K16" s="83">
        <f t="shared" si="3"/>
        <v>0</v>
      </c>
      <c r="L16" s="358"/>
    </row>
    <row r="17" spans="1:12" s="352" customFormat="1" ht="13.15" customHeight="1" x14ac:dyDescent="0.25">
      <c r="A17" s="238" t="s">
        <v>867</v>
      </c>
      <c r="B17" s="237"/>
      <c r="C17" s="354"/>
      <c r="D17" s="354"/>
      <c r="E17" s="359"/>
      <c r="F17" s="360"/>
      <c r="G17" s="354"/>
      <c r="H17" s="361"/>
      <c r="I17" s="362"/>
      <c r="J17" s="354"/>
      <c r="K17" s="361"/>
      <c r="L17" s="358"/>
    </row>
    <row r="18" spans="1:12" s="352" customFormat="1" ht="13.15" customHeight="1" x14ac:dyDescent="0.25">
      <c r="A18" s="238" t="s">
        <v>868</v>
      </c>
      <c r="B18" s="237"/>
      <c r="C18" s="354"/>
      <c r="D18" s="354"/>
      <c r="E18" s="359"/>
      <c r="F18" s="360"/>
      <c r="G18" s="354"/>
      <c r="H18" s="361"/>
      <c r="I18" s="362"/>
      <c r="J18" s="354"/>
      <c r="K18" s="361"/>
      <c r="L18" s="358"/>
    </row>
    <row r="19" spans="1:12" s="352" customFormat="1" ht="13.15" customHeight="1" x14ac:dyDescent="0.25">
      <c r="A19" s="238" t="s">
        <v>869</v>
      </c>
      <c r="B19" s="237"/>
      <c r="C19" s="354"/>
      <c r="D19" s="354"/>
      <c r="E19" s="359"/>
      <c r="F19" s="360"/>
      <c r="G19" s="354"/>
      <c r="H19" s="361"/>
      <c r="I19" s="362"/>
      <c r="J19" s="354"/>
      <c r="K19" s="361"/>
      <c r="L19" s="358"/>
    </row>
    <row r="20" spans="1:12" s="352" customFormat="1" ht="13.15" customHeight="1" x14ac:dyDescent="0.25">
      <c r="A20" s="238" t="s">
        <v>870</v>
      </c>
      <c r="B20" s="237"/>
      <c r="C20" s="354"/>
      <c r="D20" s="354"/>
      <c r="E20" s="359"/>
      <c r="F20" s="360"/>
      <c r="G20" s="354"/>
      <c r="H20" s="361"/>
      <c r="I20" s="362"/>
      <c r="J20" s="354"/>
      <c r="K20" s="361"/>
      <c r="L20" s="358"/>
    </row>
    <row r="21" spans="1:12" s="352" customFormat="1" ht="13.15" customHeight="1" x14ac:dyDescent="0.25">
      <c r="A21" s="238" t="s">
        <v>871</v>
      </c>
      <c r="B21" s="237"/>
      <c r="C21" s="354"/>
      <c r="D21" s="354"/>
      <c r="E21" s="359"/>
      <c r="F21" s="360"/>
      <c r="G21" s="354"/>
      <c r="H21" s="361"/>
      <c r="I21" s="362"/>
      <c r="J21" s="354"/>
      <c r="K21" s="361"/>
      <c r="L21" s="358"/>
    </row>
    <row r="22" spans="1:12" s="352" customFormat="1" ht="13.15" customHeight="1" x14ac:dyDescent="0.25">
      <c r="A22" s="238" t="s">
        <v>872</v>
      </c>
      <c r="B22" s="237"/>
      <c r="C22" s="354"/>
      <c r="D22" s="354"/>
      <c r="E22" s="359"/>
      <c r="F22" s="360"/>
      <c r="G22" s="354"/>
      <c r="H22" s="361"/>
      <c r="I22" s="362"/>
      <c r="J22" s="354"/>
      <c r="K22" s="361"/>
      <c r="L22" s="17"/>
    </row>
    <row r="23" spans="1:12" s="352" customFormat="1" ht="13.15" customHeight="1" x14ac:dyDescent="0.25">
      <c r="A23" s="238" t="s">
        <v>873</v>
      </c>
      <c r="B23" s="237"/>
      <c r="C23" s="354"/>
      <c r="D23" s="354"/>
      <c r="E23" s="359"/>
      <c r="F23" s="360"/>
      <c r="G23" s="354"/>
      <c r="H23" s="361"/>
      <c r="I23" s="362"/>
      <c r="J23" s="354"/>
      <c r="K23" s="361"/>
      <c r="L23" s="358"/>
    </row>
    <row r="24" spans="1:12" s="352" customFormat="1" ht="13.15" customHeight="1" x14ac:dyDescent="0.25">
      <c r="A24" s="238" t="s">
        <v>874</v>
      </c>
      <c r="B24" s="237"/>
      <c r="C24" s="354"/>
      <c r="D24" s="354"/>
      <c r="E24" s="359"/>
      <c r="F24" s="360"/>
      <c r="G24" s="354"/>
      <c r="H24" s="361"/>
      <c r="I24" s="362"/>
      <c r="J24" s="354"/>
      <c r="K24" s="361"/>
      <c r="L24" s="358"/>
    </row>
    <row r="25" spans="1:12" s="352" customFormat="1" ht="13.15" customHeight="1" x14ac:dyDescent="0.25">
      <c r="A25" s="238" t="s">
        <v>861</v>
      </c>
      <c r="B25" s="237"/>
      <c r="C25" s="354"/>
      <c r="D25" s="354"/>
      <c r="E25" s="359"/>
      <c r="F25" s="360"/>
      <c r="G25" s="354"/>
      <c r="H25" s="361"/>
      <c r="I25" s="362"/>
      <c r="J25" s="354"/>
      <c r="K25" s="361"/>
      <c r="L25" s="358"/>
    </row>
    <row r="26" spans="1:12" ht="13.15" customHeight="1" x14ac:dyDescent="0.25">
      <c r="A26" s="20" t="s">
        <v>875</v>
      </c>
      <c r="B26" s="237"/>
      <c r="C26" s="23">
        <f>SUM(C27:C36)</f>
        <v>0</v>
      </c>
      <c r="D26" s="23">
        <f t="shared" ref="D26:K26" si="4">SUM(D27:D36)</f>
        <v>0</v>
      </c>
      <c r="E26" s="50">
        <f t="shared" si="4"/>
        <v>0</v>
      </c>
      <c r="F26" s="24">
        <f t="shared" si="4"/>
        <v>0</v>
      </c>
      <c r="G26" s="23">
        <f t="shared" si="4"/>
        <v>0</v>
      </c>
      <c r="H26" s="83">
        <f t="shared" si="4"/>
        <v>0</v>
      </c>
      <c r="I26" s="319">
        <f t="shared" si="4"/>
        <v>0</v>
      </c>
      <c r="J26" s="23">
        <f t="shared" si="4"/>
        <v>0</v>
      </c>
      <c r="K26" s="83">
        <f t="shared" si="4"/>
        <v>0</v>
      </c>
    </row>
    <row r="27" spans="1:12" ht="13.15" customHeight="1" x14ac:dyDescent="0.25">
      <c r="A27" s="238" t="s">
        <v>876</v>
      </c>
      <c r="B27" s="237"/>
      <c r="C27" s="354"/>
      <c r="D27" s="354"/>
      <c r="E27" s="359"/>
      <c r="F27" s="360"/>
      <c r="G27" s="354"/>
      <c r="H27" s="361"/>
      <c r="I27" s="362"/>
      <c r="J27" s="354"/>
      <c r="K27" s="361"/>
    </row>
    <row r="28" spans="1:12" ht="13.15" customHeight="1" x14ac:dyDescent="0.25">
      <c r="A28" s="238" t="s">
        <v>877</v>
      </c>
      <c r="B28" s="237"/>
      <c r="C28" s="354"/>
      <c r="D28" s="354"/>
      <c r="E28" s="359"/>
      <c r="F28" s="360"/>
      <c r="G28" s="354"/>
      <c r="H28" s="361"/>
      <c r="I28" s="362"/>
      <c r="J28" s="354"/>
      <c r="K28" s="361"/>
      <c r="L28" s="358"/>
    </row>
    <row r="29" spans="1:12" ht="13.15" customHeight="1" x14ac:dyDescent="0.25">
      <c r="A29" s="238" t="s">
        <v>878</v>
      </c>
      <c r="B29" s="237"/>
      <c r="C29" s="354"/>
      <c r="D29" s="354"/>
      <c r="E29" s="359"/>
      <c r="F29" s="360"/>
      <c r="G29" s="354"/>
      <c r="H29" s="361"/>
      <c r="I29" s="362"/>
      <c r="J29" s="354"/>
      <c r="K29" s="361"/>
      <c r="L29" s="358"/>
    </row>
    <row r="30" spans="1:12" ht="13.15" customHeight="1" x14ac:dyDescent="0.25">
      <c r="A30" s="238" t="s">
        <v>879</v>
      </c>
      <c r="B30" s="237"/>
      <c r="C30" s="354"/>
      <c r="D30" s="354"/>
      <c r="E30" s="359"/>
      <c r="F30" s="360"/>
      <c r="G30" s="354"/>
      <c r="H30" s="361"/>
      <c r="I30" s="362"/>
      <c r="J30" s="354"/>
      <c r="K30" s="361"/>
      <c r="L30" s="358"/>
    </row>
    <row r="31" spans="1:12" ht="13.15" customHeight="1" x14ac:dyDescent="0.25">
      <c r="A31" s="238" t="s">
        <v>880</v>
      </c>
      <c r="B31" s="237"/>
      <c r="C31" s="354"/>
      <c r="D31" s="354"/>
      <c r="E31" s="359"/>
      <c r="F31" s="360"/>
      <c r="G31" s="354"/>
      <c r="H31" s="361"/>
      <c r="I31" s="362"/>
      <c r="J31" s="354"/>
      <c r="K31" s="361"/>
      <c r="L31" s="358"/>
    </row>
    <row r="32" spans="1:12" ht="13.15" customHeight="1" x14ac:dyDescent="0.25">
      <c r="A32" s="238" t="s">
        <v>881</v>
      </c>
      <c r="B32" s="237"/>
      <c r="C32" s="354"/>
      <c r="D32" s="354"/>
      <c r="E32" s="359"/>
      <c r="F32" s="360"/>
      <c r="G32" s="354"/>
      <c r="H32" s="361"/>
      <c r="I32" s="362"/>
      <c r="J32" s="354"/>
      <c r="K32" s="361"/>
      <c r="L32" s="358"/>
    </row>
    <row r="33" spans="1:12" ht="13.15" customHeight="1" x14ac:dyDescent="0.25">
      <c r="A33" s="238" t="s">
        <v>882</v>
      </c>
      <c r="B33" s="237"/>
      <c r="C33" s="354"/>
      <c r="D33" s="354"/>
      <c r="E33" s="359"/>
      <c r="F33" s="360"/>
      <c r="G33" s="354"/>
      <c r="H33" s="361"/>
      <c r="I33" s="362"/>
      <c r="J33" s="354"/>
      <c r="K33" s="361"/>
      <c r="L33" s="358"/>
    </row>
    <row r="34" spans="1:12" ht="13.15" customHeight="1" x14ac:dyDescent="0.25">
      <c r="A34" s="238" t="s">
        <v>883</v>
      </c>
      <c r="B34" s="237"/>
      <c r="C34" s="354"/>
      <c r="D34" s="354"/>
      <c r="E34" s="359"/>
      <c r="F34" s="360"/>
      <c r="G34" s="354"/>
      <c r="H34" s="361"/>
      <c r="I34" s="362"/>
      <c r="J34" s="354"/>
      <c r="K34" s="361"/>
      <c r="L34" s="358"/>
    </row>
    <row r="35" spans="1:12" ht="13.15" customHeight="1" x14ac:dyDescent="0.25">
      <c r="A35" s="238" t="s">
        <v>884</v>
      </c>
      <c r="B35" s="237"/>
      <c r="C35" s="354"/>
      <c r="D35" s="354"/>
      <c r="E35" s="359"/>
      <c r="F35" s="360"/>
      <c r="G35" s="354"/>
      <c r="H35" s="361"/>
      <c r="I35" s="362"/>
      <c r="J35" s="354"/>
      <c r="K35" s="361"/>
      <c r="L35" s="358"/>
    </row>
    <row r="36" spans="1:12" ht="13.15" customHeight="1" x14ac:dyDescent="0.25">
      <c r="A36" s="238" t="s">
        <v>861</v>
      </c>
      <c r="B36" s="237"/>
      <c r="C36" s="354"/>
      <c r="D36" s="354"/>
      <c r="E36" s="359"/>
      <c r="F36" s="360"/>
      <c r="G36" s="354"/>
      <c r="H36" s="361"/>
      <c r="I36" s="362"/>
      <c r="J36" s="354"/>
      <c r="K36" s="361"/>
      <c r="L36" s="358"/>
    </row>
    <row r="37" spans="1:12" ht="13.15" customHeight="1" x14ac:dyDescent="0.25">
      <c r="A37" s="20" t="s">
        <v>885</v>
      </c>
      <c r="B37" s="237"/>
      <c r="C37" s="23">
        <f>SUM(C38:C43)</f>
        <v>0</v>
      </c>
      <c r="D37" s="23">
        <f t="shared" ref="D37:K37" si="5">SUM(D38:D43)</f>
        <v>0</v>
      </c>
      <c r="E37" s="50">
        <f t="shared" si="5"/>
        <v>0</v>
      </c>
      <c r="F37" s="24">
        <f t="shared" si="5"/>
        <v>0</v>
      </c>
      <c r="G37" s="23">
        <f t="shared" si="5"/>
        <v>0</v>
      </c>
      <c r="H37" s="83">
        <f t="shared" si="5"/>
        <v>0</v>
      </c>
      <c r="I37" s="319">
        <f t="shared" si="5"/>
        <v>0</v>
      </c>
      <c r="J37" s="23">
        <f t="shared" si="5"/>
        <v>0</v>
      </c>
      <c r="K37" s="83">
        <f t="shared" si="5"/>
        <v>0</v>
      </c>
      <c r="L37" s="358"/>
    </row>
    <row r="38" spans="1:12" ht="13.15" customHeight="1" x14ac:dyDescent="0.25">
      <c r="A38" s="238" t="s">
        <v>886</v>
      </c>
      <c r="B38" s="237"/>
      <c r="C38" s="354"/>
      <c r="D38" s="354"/>
      <c r="E38" s="359"/>
      <c r="F38" s="360"/>
      <c r="G38" s="354"/>
      <c r="H38" s="361"/>
      <c r="I38" s="362"/>
      <c r="J38" s="354"/>
      <c r="K38" s="361"/>
      <c r="L38" s="358"/>
    </row>
    <row r="39" spans="1:12" ht="13.15" customHeight="1" x14ac:dyDescent="0.25">
      <c r="A39" s="238" t="s">
        <v>500</v>
      </c>
      <c r="B39" s="237"/>
      <c r="C39" s="354"/>
      <c r="D39" s="354"/>
      <c r="E39" s="359"/>
      <c r="F39" s="360"/>
      <c r="G39" s="354"/>
      <c r="H39" s="361"/>
      <c r="I39" s="362"/>
      <c r="J39" s="354"/>
      <c r="K39" s="361"/>
      <c r="L39" s="358"/>
    </row>
    <row r="40" spans="1:12" ht="13.15" customHeight="1" x14ac:dyDescent="0.25">
      <c r="A40" s="238" t="s">
        <v>887</v>
      </c>
      <c r="B40" s="237"/>
      <c r="C40" s="354"/>
      <c r="D40" s="354"/>
      <c r="E40" s="359"/>
      <c r="F40" s="360"/>
      <c r="G40" s="354"/>
      <c r="H40" s="361"/>
      <c r="I40" s="362"/>
      <c r="J40" s="354"/>
      <c r="K40" s="361"/>
    </row>
    <row r="41" spans="1:12" ht="13.15" customHeight="1" x14ac:dyDescent="0.25">
      <c r="A41" s="238" t="s">
        <v>888</v>
      </c>
      <c r="B41" s="237"/>
      <c r="C41" s="354"/>
      <c r="D41" s="354"/>
      <c r="E41" s="359"/>
      <c r="F41" s="360"/>
      <c r="G41" s="354"/>
      <c r="H41" s="361"/>
      <c r="I41" s="362"/>
      <c r="J41" s="354"/>
      <c r="K41" s="361"/>
      <c r="L41" s="358"/>
    </row>
    <row r="42" spans="1:12" ht="13.15" customHeight="1" x14ac:dyDescent="0.25">
      <c r="A42" s="238" t="s">
        <v>889</v>
      </c>
      <c r="B42" s="237"/>
      <c r="C42" s="354"/>
      <c r="D42" s="354"/>
      <c r="E42" s="359"/>
      <c r="F42" s="360"/>
      <c r="G42" s="354"/>
      <c r="H42" s="361"/>
      <c r="I42" s="362"/>
      <c r="J42" s="354"/>
      <c r="K42" s="361"/>
    </row>
    <row r="43" spans="1:12" ht="13.15" customHeight="1" x14ac:dyDescent="0.25">
      <c r="A43" s="238" t="s">
        <v>861</v>
      </c>
      <c r="B43" s="237"/>
      <c r="C43" s="354"/>
      <c r="D43" s="354"/>
      <c r="E43" s="359"/>
      <c r="F43" s="360"/>
      <c r="G43" s="354"/>
      <c r="H43" s="361"/>
      <c r="I43" s="362"/>
      <c r="J43" s="354"/>
      <c r="K43" s="361"/>
    </row>
    <row r="44" spans="1:12" ht="13.15" customHeight="1" x14ac:dyDescent="0.25">
      <c r="A44" s="20" t="s">
        <v>890</v>
      </c>
      <c r="B44" s="237"/>
      <c r="C44" s="23">
        <f>SUM(C45:C51)</f>
        <v>0</v>
      </c>
      <c r="D44" s="23">
        <f t="shared" ref="D44:K44" si="6">SUM(D45:D51)</f>
        <v>0</v>
      </c>
      <c r="E44" s="50">
        <f t="shared" si="6"/>
        <v>0</v>
      </c>
      <c r="F44" s="24">
        <f t="shared" si="6"/>
        <v>0</v>
      </c>
      <c r="G44" s="23">
        <f t="shared" si="6"/>
        <v>0</v>
      </c>
      <c r="H44" s="83">
        <f t="shared" si="6"/>
        <v>0</v>
      </c>
      <c r="I44" s="319">
        <f t="shared" si="6"/>
        <v>0</v>
      </c>
      <c r="J44" s="23">
        <f t="shared" si="6"/>
        <v>0</v>
      </c>
      <c r="K44" s="83">
        <f t="shared" si="6"/>
        <v>0</v>
      </c>
    </row>
    <row r="45" spans="1:12" ht="13.15" customHeight="1" x14ac:dyDescent="0.25">
      <c r="A45" s="238" t="s">
        <v>891</v>
      </c>
      <c r="B45" s="237"/>
      <c r="C45" s="354"/>
      <c r="D45" s="354"/>
      <c r="E45" s="359"/>
      <c r="F45" s="360"/>
      <c r="G45" s="354"/>
      <c r="H45" s="361"/>
      <c r="I45" s="362"/>
      <c r="J45" s="354"/>
      <c r="K45" s="361"/>
    </row>
    <row r="46" spans="1:12" ht="13.15" customHeight="1" x14ac:dyDescent="0.25">
      <c r="A46" s="238" t="s">
        <v>892</v>
      </c>
      <c r="B46" s="237"/>
      <c r="C46" s="354"/>
      <c r="D46" s="354"/>
      <c r="E46" s="359"/>
      <c r="F46" s="360"/>
      <c r="G46" s="354"/>
      <c r="H46" s="361"/>
      <c r="I46" s="362"/>
      <c r="J46" s="354"/>
      <c r="K46" s="361"/>
    </row>
    <row r="47" spans="1:12" ht="13.15" customHeight="1" x14ac:dyDescent="0.25">
      <c r="A47" s="238" t="s">
        <v>893</v>
      </c>
      <c r="B47" s="237"/>
      <c r="C47" s="354"/>
      <c r="D47" s="354"/>
      <c r="E47" s="359"/>
      <c r="F47" s="360"/>
      <c r="G47" s="354"/>
      <c r="H47" s="361"/>
      <c r="I47" s="362"/>
      <c r="J47" s="354"/>
      <c r="K47" s="361"/>
    </row>
    <row r="48" spans="1:12" ht="13.15" customHeight="1" x14ac:dyDescent="0.25">
      <c r="A48" s="238" t="s">
        <v>894</v>
      </c>
      <c r="B48" s="237"/>
      <c r="C48" s="354"/>
      <c r="D48" s="354"/>
      <c r="E48" s="359"/>
      <c r="F48" s="360"/>
      <c r="G48" s="354"/>
      <c r="H48" s="361"/>
      <c r="I48" s="362"/>
      <c r="J48" s="354"/>
      <c r="K48" s="361"/>
      <c r="L48" s="358"/>
    </row>
    <row r="49" spans="1:12" ht="13.15" customHeight="1" x14ac:dyDescent="0.25">
      <c r="A49" s="238" t="s">
        <v>895</v>
      </c>
      <c r="B49" s="237"/>
      <c r="C49" s="354"/>
      <c r="D49" s="354"/>
      <c r="E49" s="359"/>
      <c r="F49" s="360"/>
      <c r="G49" s="354"/>
      <c r="H49" s="361"/>
      <c r="I49" s="362"/>
      <c r="J49" s="354"/>
      <c r="K49" s="361"/>
    </row>
    <row r="50" spans="1:12" ht="13.15" customHeight="1" x14ac:dyDescent="0.25">
      <c r="A50" s="238" t="s">
        <v>896</v>
      </c>
      <c r="B50" s="237"/>
      <c r="C50" s="354"/>
      <c r="D50" s="354"/>
      <c r="E50" s="359"/>
      <c r="F50" s="360"/>
      <c r="G50" s="354"/>
      <c r="H50" s="361"/>
      <c r="I50" s="362"/>
      <c r="J50" s="354"/>
      <c r="K50" s="361"/>
    </row>
    <row r="51" spans="1:12" ht="13.15" customHeight="1" x14ac:dyDescent="0.25">
      <c r="A51" s="238" t="s">
        <v>861</v>
      </c>
      <c r="B51" s="237"/>
      <c r="C51" s="354"/>
      <c r="D51" s="354"/>
      <c r="E51" s="359"/>
      <c r="F51" s="360"/>
      <c r="G51" s="354"/>
      <c r="H51" s="361"/>
      <c r="I51" s="362"/>
      <c r="J51" s="354"/>
      <c r="K51" s="361"/>
    </row>
    <row r="52" spans="1:12" ht="13.15" customHeight="1" x14ac:dyDescent="0.25">
      <c r="A52" s="20" t="s">
        <v>897</v>
      </c>
      <c r="B52" s="237"/>
      <c r="C52" s="23">
        <f t="shared" ref="C52:K52" si="7">SUM(C53:C61)</f>
        <v>0</v>
      </c>
      <c r="D52" s="23">
        <f t="shared" si="7"/>
        <v>0</v>
      </c>
      <c r="E52" s="50">
        <f t="shared" si="7"/>
        <v>0</v>
      </c>
      <c r="F52" s="24">
        <f t="shared" si="7"/>
        <v>0</v>
      </c>
      <c r="G52" s="23">
        <f t="shared" si="7"/>
        <v>0</v>
      </c>
      <c r="H52" s="83">
        <f t="shared" si="7"/>
        <v>0</v>
      </c>
      <c r="I52" s="319">
        <f t="shared" si="7"/>
        <v>0</v>
      </c>
      <c r="J52" s="23">
        <f t="shared" si="7"/>
        <v>0</v>
      </c>
      <c r="K52" s="83">
        <f t="shared" si="7"/>
        <v>0</v>
      </c>
      <c r="L52" s="358"/>
    </row>
    <row r="53" spans="1:12" ht="13.15" customHeight="1" x14ac:dyDescent="0.25">
      <c r="A53" s="238" t="s">
        <v>898</v>
      </c>
      <c r="B53" s="237"/>
      <c r="C53" s="354"/>
      <c r="D53" s="354"/>
      <c r="E53" s="359"/>
      <c r="F53" s="360"/>
      <c r="G53" s="354"/>
      <c r="H53" s="361"/>
      <c r="I53" s="362"/>
      <c r="J53" s="354"/>
      <c r="K53" s="361"/>
    </row>
    <row r="54" spans="1:12" ht="13.15" customHeight="1" x14ac:dyDescent="0.25">
      <c r="A54" s="238" t="s">
        <v>899</v>
      </c>
      <c r="B54" s="237"/>
      <c r="C54" s="354"/>
      <c r="D54" s="354"/>
      <c r="E54" s="359"/>
      <c r="F54" s="360"/>
      <c r="G54" s="354"/>
      <c r="H54" s="361"/>
      <c r="I54" s="362"/>
      <c r="J54" s="354"/>
      <c r="K54" s="361"/>
      <c r="L54" s="358"/>
    </row>
    <row r="55" spans="1:12" ht="13.15" customHeight="1" x14ac:dyDescent="0.25">
      <c r="A55" s="238" t="s">
        <v>900</v>
      </c>
      <c r="B55" s="237"/>
      <c r="C55" s="354"/>
      <c r="D55" s="354"/>
      <c r="E55" s="359"/>
      <c r="F55" s="360"/>
      <c r="G55" s="354"/>
      <c r="H55" s="361"/>
      <c r="I55" s="362"/>
      <c r="J55" s="354"/>
      <c r="K55" s="361"/>
      <c r="L55" s="358"/>
    </row>
    <row r="56" spans="1:12" ht="13.15" customHeight="1" x14ac:dyDescent="0.25">
      <c r="A56" s="238" t="s">
        <v>863</v>
      </c>
      <c r="B56" s="237"/>
      <c r="C56" s="354"/>
      <c r="D56" s="354"/>
      <c r="E56" s="359"/>
      <c r="F56" s="360"/>
      <c r="G56" s="354"/>
      <c r="H56" s="361"/>
      <c r="I56" s="362"/>
      <c r="J56" s="354"/>
      <c r="K56" s="361"/>
      <c r="L56" s="358"/>
    </row>
    <row r="57" spans="1:12" ht="13.15" customHeight="1" x14ac:dyDescent="0.25">
      <c r="A57" s="238" t="s">
        <v>864</v>
      </c>
      <c r="B57" s="237"/>
      <c r="C57" s="354"/>
      <c r="D57" s="354"/>
      <c r="E57" s="359"/>
      <c r="F57" s="360"/>
      <c r="G57" s="354"/>
      <c r="H57" s="361"/>
      <c r="I57" s="362"/>
      <c r="J57" s="354"/>
      <c r="K57" s="361"/>
      <c r="L57" s="358"/>
    </row>
    <row r="58" spans="1:12" ht="13.15" customHeight="1" x14ac:dyDescent="0.25">
      <c r="A58" s="238" t="s">
        <v>865</v>
      </c>
      <c r="B58" s="237"/>
      <c r="C58" s="354"/>
      <c r="D58" s="354"/>
      <c r="E58" s="359"/>
      <c r="F58" s="360"/>
      <c r="G58" s="354"/>
      <c r="H58" s="361"/>
      <c r="I58" s="362"/>
      <c r="J58" s="354"/>
      <c r="K58" s="361"/>
    </row>
    <row r="59" spans="1:12" ht="13.15" customHeight="1" x14ac:dyDescent="0.25">
      <c r="A59" s="238" t="s">
        <v>871</v>
      </c>
      <c r="B59" s="237"/>
      <c r="C59" s="354"/>
      <c r="D59" s="354"/>
      <c r="E59" s="359"/>
      <c r="F59" s="360"/>
      <c r="G59" s="354"/>
      <c r="H59" s="361"/>
      <c r="I59" s="362"/>
      <c r="J59" s="354"/>
      <c r="K59" s="361"/>
      <c r="L59" s="358"/>
    </row>
    <row r="60" spans="1:12" ht="13.15" customHeight="1" x14ac:dyDescent="0.25">
      <c r="A60" s="238" t="s">
        <v>874</v>
      </c>
      <c r="B60" s="237"/>
      <c r="C60" s="354"/>
      <c r="D60" s="354"/>
      <c r="E60" s="359"/>
      <c r="F60" s="360"/>
      <c r="G60" s="354"/>
      <c r="H60" s="361"/>
      <c r="I60" s="362"/>
      <c r="J60" s="354"/>
      <c r="K60" s="361"/>
      <c r="L60" s="358"/>
    </row>
    <row r="61" spans="1:12" ht="13.15" customHeight="1" x14ac:dyDescent="0.25">
      <c r="A61" s="238" t="s">
        <v>861</v>
      </c>
      <c r="B61" s="237"/>
      <c r="C61" s="354"/>
      <c r="D61" s="354"/>
      <c r="E61" s="359"/>
      <c r="F61" s="360"/>
      <c r="G61" s="354"/>
      <c r="H61" s="361"/>
      <c r="I61" s="362"/>
      <c r="J61" s="354"/>
      <c r="K61" s="361"/>
      <c r="L61" s="358"/>
    </row>
    <row r="62" spans="1:12" ht="13.15" customHeight="1" x14ac:dyDescent="0.25">
      <c r="A62" s="20" t="s">
        <v>901</v>
      </c>
      <c r="B62" s="237"/>
      <c r="C62" s="23">
        <f>SUM(C63:C67)</f>
        <v>0</v>
      </c>
      <c r="D62" s="23">
        <f t="shared" ref="D62:K62" si="8">SUM(D63:D67)</f>
        <v>0</v>
      </c>
      <c r="E62" s="50">
        <f t="shared" si="8"/>
        <v>0</v>
      </c>
      <c r="F62" s="24">
        <f t="shared" si="8"/>
        <v>0</v>
      </c>
      <c r="G62" s="23">
        <f t="shared" si="8"/>
        <v>0</v>
      </c>
      <c r="H62" s="83">
        <f t="shared" si="8"/>
        <v>0</v>
      </c>
      <c r="I62" s="319">
        <f t="shared" si="8"/>
        <v>0</v>
      </c>
      <c r="J62" s="23">
        <f t="shared" si="8"/>
        <v>0</v>
      </c>
      <c r="K62" s="83">
        <f t="shared" si="8"/>
        <v>0</v>
      </c>
      <c r="L62" s="358"/>
    </row>
    <row r="63" spans="1:12" ht="13.15" customHeight="1" x14ac:dyDescent="0.25">
      <c r="A63" s="238" t="s">
        <v>902</v>
      </c>
      <c r="B63" s="237"/>
      <c r="C63" s="354"/>
      <c r="D63" s="354"/>
      <c r="E63" s="359"/>
      <c r="F63" s="360"/>
      <c r="G63" s="354"/>
      <c r="H63" s="361"/>
      <c r="I63" s="362"/>
      <c r="J63" s="354"/>
      <c r="K63" s="361"/>
      <c r="L63" s="358"/>
    </row>
    <row r="64" spans="1:12" ht="13.15" customHeight="1" x14ac:dyDescent="0.25">
      <c r="A64" s="238" t="s">
        <v>903</v>
      </c>
      <c r="B64" s="237"/>
      <c r="C64" s="354"/>
      <c r="D64" s="354"/>
      <c r="E64" s="359"/>
      <c r="F64" s="360"/>
      <c r="G64" s="354"/>
      <c r="H64" s="361"/>
      <c r="I64" s="362"/>
      <c r="J64" s="354"/>
      <c r="K64" s="361"/>
    </row>
    <row r="65" spans="1:11" ht="13.15" customHeight="1" x14ac:dyDescent="0.25">
      <c r="A65" s="238" t="s">
        <v>904</v>
      </c>
      <c r="B65" s="237"/>
      <c r="C65" s="354"/>
      <c r="D65" s="354"/>
      <c r="E65" s="359"/>
      <c r="F65" s="360"/>
      <c r="G65" s="354"/>
      <c r="H65" s="361"/>
      <c r="I65" s="362"/>
      <c r="J65" s="354"/>
      <c r="K65" s="361"/>
    </row>
    <row r="66" spans="1:11" ht="13.15" customHeight="1" x14ac:dyDescent="0.25">
      <c r="A66" s="238" t="s">
        <v>905</v>
      </c>
      <c r="B66" s="237"/>
      <c r="C66" s="354"/>
      <c r="D66" s="354"/>
      <c r="E66" s="359"/>
      <c r="F66" s="360"/>
      <c r="G66" s="354"/>
      <c r="H66" s="361"/>
      <c r="I66" s="362"/>
      <c r="J66" s="354"/>
      <c r="K66" s="361"/>
    </row>
    <row r="67" spans="1:11" ht="13.15" customHeight="1" x14ac:dyDescent="0.25">
      <c r="A67" s="238" t="s">
        <v>861</v>
      </c>
      <c r="B67" s="237"/>
      <c r="C67" s="354"/>
      <c r="D67" s="354"/>
      <c r="E67" s="359"/>
      <c r="F67" s="360"/>
      <c r="G67" s="354"/>
      <c r="H67" s="361"/>
      <c r="I67" s="362"/>
      <c r="J67" s="354"/>
      <c r="K67" s="361"/>
    </row>
    <row r="68" spans="1:11" ht="13.15" customHeight="1" x14ac:dyDescent="0.25">
      <c r="A68" s="20" t="s">
        <v>906</v>
      </c>
      <c r="B68" s="237"/>
      <c r="C68" s="23">
        <f>SUM(C69:C72)</f>
        <v>0</v>
      </c>
      <c r="D68" s="23">
        <f t="shared" ref="D68:K68" si="9">SUM(D69:D72)</f>
        <v>0</v>
      </c>
      <c r="E68" s="23">
        <f t="shared" si="9"/>
        <v>0</v>
      </c>
      <c r="F68" s="24">
        <f t="shared" si="9"/>
        <v>0</v>
      </c>
      <c r="G68" s="23">
        <f t="shared" si="9"/>
        <v>0</v>
      </c>
      <c r="H68" s="83">
        <f t="shared" si="9"/>
        <v>0</v>
      </c>
      <c r="I68" s="319">
        <f t="shared" si="9"/>
        <v>0</v>
      </c>
      <c r="J68" s="23">
        <f t="shared" si="9"/>
        <v>0</v>
      </c>
      <c r="K68" s="83">
        <f t="shared" si="9"/>
        <v>0</v>
      </c>
    </row>
    <row r="69" spans="1:11" ht="13.15" customHeight="1" x14ac:dyDescent="0.25">
      <c r="A69" s="238" t="s">
        <v>907</v>
      </c>
      <c r="B69" s="237"/>
      <c r="C69" s="354"/>
      <c r="D69" s="354"/>
      <c r="E69" s="357"/>
      <c r="F69" s="356"/>
      <c r="G69" s="354"/>
      <c r="H69" s="357"/>
      <c r="I69" s="356"/>
      <c r="J69" s="354"/>
      <c r="K69" s="361"/>
    </row>
    <row r="70" spans="1:11" ht="13.15" customHeight="1" x14ac:dyDescent="0.25">
      <c r="A70" s="238" t="s">
        <v>908</v>
      </c>
      <c r="B70" s="237"/>
      <c r="C70" s="354"/>
      <c r="D70" s="354"/>
      <c r="E70" s="355"/>
      <c r="F70" s="356"/>
      <c r="G70" s="354"/>
      <c r="H70" s="357"/>
      <c r="I70" s="356"/>
      <c r="J70" s="354"/>
      <c r="K70" s="361"/>
    </row>
    <row r="71" spans="1:11" ht="13.15" customHeight="1" x14ac:dyDescent="0.25">
      <c r="A71" s="238" t="s">
        <v>909</v>
      </c>
      <c r="B71" s="237"/>
      <c r="C71" s="354"/>
      <c r="D71" s="354"/>
      <c r="E71" s="355"/>
      <c r="F71" s="356"/>
      <c r="G71" s="354"/>
      <c r="H71" s="357"/>
      <c r="I71" s="356"/>
      <c r="J71" s="354"/>
      <c r="K71" s="355"/>
    </row>
    <row r="72" spans="1:11" ht="13.15" customHeight="1" x14ac:dyDescent="0.25">
      <c r="A72" s="238" t="s">
        <v>861</v>
      </c>
      <c r="B72" s="237"/>
      <c r="C72" s="354"/>
      <c r="D72" s="354"/>
      <c r="E72" s="355"/>
      <c r="F72" s="356"/>
      <c r="G72" s="354"/>
      <c r="H72" s="357"/>
      <c r="I72" s="356"/>
      <c r="J72" s="354"/>
      <c r="K72" s="355"/>
    </row>
    <row r="73" spans="1:11" ht="5.0999999999999996" customHeight="1" x14ac:dyDescent="0.25">
      <c r="A73" s="21"/>
      <c r="B73" s="237"/>
      <c r="C73" s="23"/>
      <c r="D73" s="23"/>
      <c r="E73" s="240"/>
      <c r="F73" s="241"/>
      <c r="G73" s="23"/>
      <c r="H73" s="22"/>
      <c r="I73" s="241"/>
      <c r="J73" s="23"/>
      <c r="K73" s="240"/>
    </row>
    <row r="74" spans="1:11" ht="13.15" customHeight="1" x14ac:dyDescent="0.25">
      <c r="A74" s="19" t="s">
        <v>910</v>
      </c>
      <c r="B74" s="237"/>
      <c r="C74" s="26">
        <f>C75+C98</f>
        <v>0</v>
      </c>
      <c r="D74" s="26">
        <f t="shared" ref="D74:K74" si="10">D75+D98</f>
        <v>0</v>
      </c>
      <c r="E74" s="233">
        <f t="shared" si="10"/>
        <v>0</v>
      </c>
      <c r="F74" s="232">
        <f t="shared" si="10"/>
        <v>0</v>
      </c>
      <c r="G74" s="26">
        <f t="shared" si="10"/>
        <v>0</v>
      </c>
      <c r="H74" s="25">
        <f t="shared" si="10"/>
        <v>0</v>
      </c>
      <c r="I74" s="232">
        <f t="shared" si="10"/>
        <v>0</v>
      </c>
      <c r="J74" s="26">
        <f t="shared" si="10"/>
        <v>0</v>
      </c>
      <c r="K74" s="233">
        <f t="shared" si="10"/>
        <v>0</v>
      </c>
    </row>
    <row r="75" spans="1:11" ht="13.15" customHeight="1" x14ac:dyDescent="0.25">
      <c r="A75" s="20" t="s">
        <v>911</v>
      </c>
      <c r="B75" s="237"/>
      <c r="C75" s="48">
        <f>SUM(C76:C97)</f>
        <v>0</v>
      </c>
      <c r="D75" s="48">
        <f t="shared" ref="D75:K75" si="11">SUM(D76:D97)</f>
        <v>0</v>
      </c>
      <c r="E75" s="317">
        <f t="shared" si="11"/>
        <v>0</v>
      </c>
      <c r="F75" s="49">
        <f t="shared" si="11"/>
        <v>0</v>
      </c>
      <c r="G75" s="48">
        <f t="shared" si="11"/>
        <v>0</v>
      </c>
      <c r="H75" s="100">
        <f t="shared" si="11"/>
        <v>0</v>
      </c>
      <c r="I75" s="49">
        <f t="shared" si="11"/>
        <v>0</v>
      </c>
      <c r="J75" s="48">
        <f t="shared" si="11"/>
        <v>0</v>
      </c>
      <c r="K75" s="100">
        <f t="shared" si="11"/>
        <v>0</v>
      </c>
    </row>
    <row r="76" spans="1:11" ht="13.15" customHeight="1" x14ac:dyDescent="0.25">
      <c r="A76" s="238" t="s">
        <v>912</v>
      </c>
      <c r="B76" s="237"/>
      <c r="C76" s="354"/>
      <c r="D76" s="354"/>
      <c r="E76" s="355"/>
      <c r="F76" s="356"/>
      <c r="G76" s="354"/>
      <c r="H76" s="357"/>
      <c r="I76" s="356"/>
      <c r="J76" s="354"/>
      <c r="K76" s="355"/>
    </row>
    <row r="77" spans="1:11" ht="13.15" customHeight="1" x14ac:dyDescent="0.25">
      <c r="A77" s="238" t="s">
        <v>913</v>
      </c>
      <c r="B77" s="237"/>
      <c r="C77" s="354"/>
      <c r="D77" s="354"/>
      <c r="E77" s="355"/>
      <c r="F77" s="356"/>
      <c r="G77" s="354"/>
      <c r="H77" s="357"/>
      <c r="I77" s="356"/>
      <c r="J77" s="354"/>
      <c r="K77" s="355"/>
    </row>
    <row r="78" spans="1:11" ht="13.15" customHeight="1" x14ac:dyDescent="0.25">
      <c r="A78" s="238" t="s">
        <v>914</v>
      </c>
      <c r="B78" s="237"/>
      <c r="C78" s="354"/>
      <c r="D78" s="354"/>
      <c r="E78" s="355"/>
      <c r="F78" s="356"/>
      <c r="G78" s="354"/>
      <c r="H78" s="357"/>
      <c r="I78" s="356"/>
      <c r="J78" s="354"/>
      <c r="K78" s="355"/>
    </row>
    <row r="79" spans="1:11" ht="13.15" customHeight="1" x14ac:dyDescent="0.25">
      <c r="A79" s="238" t="s">
        <v>915</v>
      </c>
      <c r="B79" s="237"/>
      <c r="C79" s="354"/>
      <c r="D79" s="354"/>
      <c r="E79" s="355"/>
      <c r="F79" s="356"/>
      <c r="G79" s="354"/>
      <c r="H79" s="357"/>
      <c r="I79" s="356"/>
      <c r="J79" s="354"/>
      <c r="K79" s="355"/>
    </row>
    <row r="80" spans="1:11" ht="13.15" customHeight="1" x14ac:dyDescent="0.25">
      <c r="A80" s="238" t="s">
        <v>916</v>
      </c>
      <c r="B80" s="237"/>
      <c r="C80" s="354"/>
      <c r="D80" s="354"/>
      <c r="E80" s="355"/>
      <c r="F80" s="356"/>
      <c r="G80" s="354"/>
      <c r="H80" s="357"/>
      <c r="I80" s="356"/>
      <c r="J80" s="354"/>
      <c r="K80" s="355"/>
    </row>
    <row r="81" spans="1:12" ht="13.15" customHeight="1" x14ac:dyDescent="0.25">
      <c r="A81" s="238" t="s">
        <v>917</v>
      </c>
      <c r="B81" s="237"/>
      <c r="C81" s="354"/>
      <c r="D81" s="354"/>
      <c r="E81" s="355"/>
      <c r="F81" s="356"/>
      <c r="G81" s="354"/>
      <c r="H81" s="357"/>
      <c r="I81" s="356"/>
      <c r="J81" s="354"/>
      <c r="K81" s="355"/>
    </row>
    <row r="82" spans="1:12" ht="13.15" customHeight="1" x14ac:dyDescent="0.25">
      <c r="A82" s="238" t="s">
        <v>918</v>
      </c>
      <c r="B82" s="237"/>
      <c r="C82" s="354"/>
      <c r="D82" s="354"/>
      <c r="E82" s="355"/>
      <c r="F82" s="356"/>
      <c r="G82" s="354"/>
      <c r="H82" s="357"/>
      <c r="I82" s="356"/>
      <c r="J82" s="354"/>
      <c r="K82" s="355"/>
    </row>
    <row r="83" spans="1:12" ht="13.15" customHeight="1" x14ac:dyDescent="0.25">
      <c r="A83" s="238" t="s">
        <v>919</v>
      </c>
      <c r="B83" s="237"/>
      <c r="C83" s="354"/>
      <c r="D83" s="354"/>
      <c r="E83" s="355"/>
      <c r="F83" s="356"/>
      <c r="G83" s="354"/>
      <c r="H83" s="357"/>
      <c r="I83" s="356"/>
      <c r="J83" s="354"/>
      <c r="K83" s="355"/>
    </row>
    <row r="84" spans="1:12" s="297" customFormat="1" ht="13.15" customHeight="1" x14ac:dyDescent="0.25">
      <c r="A84" s="238" t="s">
        <v>920</v>
      </c>
      <c r="B84" s="237"/>
      <c r="C84" s="354"/>
      <c r="D84" s="354"/>
      <c r="E84" s="355"/>
      <c r="F84" s="356"/>
      <c r="G84" s="354"/>
      <c r="H84" s="357"/>
      <c r="I84" s="356"/>
      <c r="J84" s="354"/>
      <c r="K84" s="355"/>
      <c r="L84" s="363"/>
    </row>
    <row r="85" spans="1:12" s="297" customFormat="1" ht="13.15" customHeight="1" x14ac:dyDescent="0.25">
      <c r="A85" s="238" t="s">
        <v>90</v>
      </c>
      <c r="B85" s="237"/>
      <c r="C85" s="354"/>
      <c r="D85" s="354"/>
      <c r="E85" s="355"/>
      <c r="F85" s="356"/>
      <c r="G85" s="354"/>
      <c r="H85" s="357"/>
      <c r="I85" s="356"/>
      <c r="J85" s="354"/>
      <c r="K85" s="355"/>
    </row>
    <row r="86" spans="1:12" s="297" customFormat="1" ht="13.15" customHeight="1" x14ac:dyDescent="0.25">
      <c r="A86" s="238" t="s">
        <v>921</v>
      </c>
      <c r="B86" s="237"/>
      <c r="C86" s="354"/>
      <c r="D86" s="354"/>
      <c r="E86" s="355"/>
      <c r="F86" s="356"/>
      <c r="G86" s="354"/>
      <c r="H86" s="357"/>
      <c r="I86" s="356"/>
      <c r="J86" s="354"/>
      <c r="K86" s="355"/>
    </row>
    <row r="87" spans="1:12" ht="13.15" customHeight="1" x14ac:dyDescent="0.25">
      <c r="A87" s="238" t="s">
        <v>922</v>
      </c>
      <c r="B87" s="237"/>
      <c r="C87" s="354"/>
      <c r="D87" s="354"/>
      <c r="E87" s="355"/>
      <c r="F87" s="356"/>
      <c r="G87" s="354"/>
      <c r="H87" s="357"/>
      <c r="I87" s="356"/>
      <c r="J87" s="354"/>
      <c r="K87" s="355"/>
    </row>
    <row r="88" spans="1:12" ht="13.15" customHeight="1" x14ac:dyDescent="0.25">
      <c r="A88" s="238" t="s">
        <v>1025</v>
      </c>
      <c r="B88" s="237"/>
      <c r="C88" s="354"/>
      <c r="D88" s="354"/>
      <c r="E88" s="355"/>
      <c r="F88" s="356"/>
      <c r="G88" s="354"/>
      <c r="H88" s="357"/>
      <c r="I88" s="356"/>
      <c r="J88" s="354"/>
      <c r="K88" s="355"/>
    </row>
    <row r="89" spans="1:12" ht="13.15" customHeight="1" x14ac:dyDescent="0.25">
      <c r="A89" s="238" t="s">
        <v>923</v>
      </c>
      <c r="B89" s="237"/>
      <c r="C89" s="354"/>
      <c r="D89" s="354"/>
      <c r="E89" s="355"/>
      <c r="F89" s="356"/>
      <c r="G89" s="354"/>
      <c r="H89" s="357"/>
      <c r="I89" s="356"/>
      <c r="J89" s="354"/>
      <c r="K89" s="355"/>
    </row>
    <row r="90" spans="1:12" ht="13.15" customHeight="1" x14ac:dyDescent="0.25">
      <c r="A90" s="238" t="s">
        <v>924</v>
      </c>
      <c r="B90" s="237"/>
      <c r="C90" s="354"/>
      <c r="D90" s="354"/>
      <c r="E90" s="355"/>
      <c r="F90" s="356"/>
      <c r="G90" s="354"/>
      <c r="H90" s="357"/>
      <c r="I90" s="356"/>
      <c r="J90" s="354"/>
      <c r="K90" s="355"/>
    </row>
    <row r="91" spans="1:12" ht="13.15" customHeight="1" x14ac:dyDescent="0.25">
      <c r="A91" s="238" t="s">
        <v>925</v>
      </c>
      <c r="B91" s="237"/>
      <c r="C91" s="354"/>
      <c r="D91" s="354"/>
      <c r="E91" s="355"/>
      <c r="F91" s="356"/>
      <c r="G91" s="354"/>
      <c r="H91" s="357"/>
      <c r="I91" s="356"/>
      <c r="J91" s="354"/>
      <c r="K91" s="355"/>
    </row>
    <row r="92" spans="1:12" ht="13.15" customHeight="1" x14ac:dyDescent="0.25">
      <c r="A92" s="238" t="s">
        <v>11</v>
      </c>
      <c r="B92" s="237"/>
      <c r="C92" s="354"/>
      <c r="D92" s="354"/>
      <c r="E92" s="355"/>
      <c r="F92" s="356"/>
      <c r="G92" s="354"/>
      <c r="H92" s="357"/>
      <c r="I92" s="356"/>
      <c r="J92" s="354"/>
      <c r="K92" s="355"/>
    </row>
    <row r="93" spans="1:12" ht="13.15" customHeight="1" x14ac:dyDescent="0.25">
      <c r="A93" s="238" t="s">
        <v>926</v>
      </c>
      <c r="B93" s="237"/>
      <c r="C93" s="354"/>
      <c r="D93" s="354"/>
      <c r="E93" s="355"/>
      <c r="F93" s="356"/>
      <c r="G93" s="354"/>
      <c r="H93" s="357"/>
      <c r="I93" s="356"/>
      <c r="J93" s="354"/>
      <c r="K93" s="355"/>
    </row>
    <row r="94" spans="1:12" ht="13.15" customHeight="1" x14ac:dyDescent="0.25">
      <c r="A94" s="238" t="s">
        <v>10</v>
      </c>
      <c r="B94" s="237"/>
      <c r="C94" s="354"/>
      <c r="D94" s="354"/>
      <c r="E94" s="355"/>
      <c r="F94" s="356"/>
      <c r="G94" s="354"/>
      <c r="H94" s="357"/>
      <c r="I94" s="356"/>
      <c r="J94" s="354"/>
      <c r="K94" s="355"/>
    </row>
    <row r="95" spans="1:12" ht="13.15" customHeight="1" x14ac:dyDescent="0.25">
      <c r="A95" s="238" t="s">
        <v>927</v>
      </c>
      <c r="B95" s="237"/>
      <c r="C95" s="354"/>
      <c r="D95" s="354"/>
      <c r="E95" s="355"/>
      <c r="F95" s="356"/>
      <c r="G95" s="354"/>
      <c r="H95" s="357"/>
      <c r="I95" s="356"/>
      <c r="J95" s="354"/>
      <c r="K95" s="355"/>
    </row>
    <row r="96" spans="1:12" ht="13.15" customHeight="1" x14ac:dyDescent="0.25">
      <c r="A96" s="238" t="s">
        <v>928</v>
      </c>
      <c r="B96" s="237"/>
      <c r="C96" s="354"/>
      <c r="D96" s="354"/>
      <c r="E96" s="355"/>
      <c r="F96" s="356"/>
      <c r="G96" s="354"/>
      <c r="H96" s="357"/>
      <c r="I96" s="356"/>
      <c r="J96" s="354"/>
      <c r="K96" s="355"/>
    </row>
    <row r="97" spans="1:11" ht="13.15" customHeight="1" x14ac:dyDescent="0.25">
      <c r="A97" s="238" t="s">
        <v>861</v>
      </c>
      <c r="B97" s="237"/>
      <c r="C97" s="354"/>
      <c r="D97" s="354"/>
      <c r="E97" s="355"/>
      <c r="F97" s="356"/>
      <c r="G97" s="354"/>
      <c r="H97" s="357"/>
      <c r="I97" s="356"/>
      <c r="J97" s="354"/>
      <c r="K97" s="355"/>
    </row>
    <row r="98" spans="1:11" ht="13.15" customHeight="1" x14ac:dyDescent="0.25">
      <c r="A98" s="20" t="s">
        <v>929</v>
      </c>
      <c r="B98" s="237"/>
      <c r="C98" s="23">
        <f>SUM(C99:C101)</f>
        <v>0</v>
      </c>
      <c r="D98" s="23">
        <f t="shared" ref="D98:K98" si="12">SUM(D99:D101)</f>
        <v>0</v>
      </c>
      <c r="E98" s="23">
        <f t="shared" si="12"/>
        <v>0</v>
      </c>
      <c r="F98" s="24">
        <f t="shared" si="12"/>
        <v>0</v>
      </c>
      <c r="G98" s="23">
        <f t="shared" si="12"/>
        <v>0</v>
      </c>
      <c r="H98" s="83">
        <f t="shared" si="12"/>
        <v>0</v>
      </c>
      <c r="I98" s="319">
        <f t="shared" si="12"/>
        <v>0</v>
      </c>
      <c r="J98" s="23">
        <f t="shared" si="12"/>
        <v>0</v>
      </c>
      <c r="K98" s="83">
        <f t="shared" si="12"/>
        <v>0</v>
      </c>
    </row>
    <row r="99" spans="1:11" ht="13.15" customHeight="1" x14ac:dyDescent="0.25">
      <c r="A99" s="238" t="s">
        <v>930</v>
      </c>
      <c r="B99" s="237"/>
      <c r="C99" s="354"/>
      <c r="D99" s="354"/>
      <c r="E99" s="357"/>
      <c r="F99" s="356"/>
      <c r="G99" s="354"/>
      <c r="H99" s="357"/>
      <c r="I99" s="356"/>
      <c r="J99" s="354"/>
      <c r="K99" s="361"/>
    </row>
    <row r="100" spans="1:11" ht="13.15" customHeight="1" x14ac:dyDescent="0.25">
      <c r="A100" s="238" t="s">
        <v>931</v>
      </c>
      <c r="B100" s="237"/>
      <c r="C100" s="354"/>
      <c r="D100" s="354"/>
      <c r="E100" s="355"/>
      <c r="F100" s="356"/>
      <c r="G100" s="354"/>
      <c r="H100" s="357"/>
      <c r="I100" s="356"/>
      <c r="J100" s="354"/>
      <c r="K100" s="361"/>
    </row>
    <row r="101" spans="1:11" ht="13.15" customHeight="1" x14ac:dyDescent="0.25">
      <c r="A101" s="238" t="s">
        <v>861</v>
      </c>
      <c r="B101" s="237"/>
      <c r="C101" s="354"/>
      <c r="D101" s="354"/>
      <c r="E101" s="355"/>
      <c r="F101" s="356"/>
      <c r="G101" s="354"/>
      <c r="H101" s="357"/>
      <c r="I101" s="356"/>
      <c r="J101" s="354"/>
      <c r="K101" s="355"/>
    </row>
    <row r="102" spans="1:11" ht="5.0999999999999996" customHeight="1" x14ac:dyDescent="0.25">
      <c r="A102" s="21"/>
      <c r="B102" s="237"/>
      <c r="C102" s="23"/>
      <c r="D102" s="23"/>
      <c r="E102" s="240"/>
      <c r="F102" s="241"/>
      <c r="G102" s="23"/>
      <c r="H102" s="22"/>
      <c r="I102" s="241"/>
      <c r="J102" s="23"/>
      <c r="K102" s="240"/>
    </row>
    <row r="103" spans="1:11" ht="13.15" customHeight="1" x14ac:dyDescent="0.25">
      <c r="A103" s="19" t="s">
        <v>187</v>
      </c>
      <c r="B103" s="237"/>
      <c r="C103" s="23">
        <f>SUM(C104:C108)</f>
        <v>0</v>
      </c>
      <c r="D103" s="23">
        <f t="shared" ref="D103:K103" si="13">SUM(D104:D108)</f>
        <v>0</v>
      </c>
      <c r="E103" s="240">
        <f t="shared" si="13"/>
        <v>0</v>
      </c>
      <c r="F103" s="241">
        <f t="shared" si="13"/>
        <v>0</v>
      </c>
      <c r="G103" s="23">
        <f t="shared" si="13"/>
        <v>0</v>
      </c>
      <c r="H103" s="22">
        <f t="shared" si="13"/>
        <v>0</v>
      </c>
      <c r="I103" s="241">
        <f t="shared" si="13"/>
        <v>0</v>
      </c>
      <c r="J103" s="23">
        <f t="shared" si="13"/>
        <v>0</v>
      </c>
      <c r="K103" s="240">
        <f t="shared" si="13"/>
        <v>0</v>
      </c>
    </row>
    <row r="104" spans="1:11" ht="13.15" customHeight="1" x14ac:dyDescent="0.25">
      <c r="A104" s="20" t="s">
        <v>932</v>
      </c>
      <c r="B104" s="237"/>
      <c r="C104" s="364"/>
      <c r="D104" s="364"/>
      <c r="E104" s="365"/>
      <c r="F104" s="366"/>
      <c r="G104" s="364"/>
      <c r="H104" s="367"/>
      <c r="I104" s="366"/>
      <c r="J104" s="364"/>
      <c r="K104" s="365"/>
    </row>
    <row r="105" spans="1:11" ht="13.15" customHeight="1" x14ac:dyDescent="0.25">
      <c r="A105" s="20" t="s">
        <v>933</v>
      </c>
      <c r="B105" s="237"/>
      <c r="C105" s="368"/>
      <c r="D105" s="368"/>
      <c r="E105" s="369"/>
      <c r="F105" s="370"/>
      <c r="G105" s="368"/>
      <c r="H105" s="371"/>
      <c r="I105" s="370"/>
      <c r="J105" s="368"/>
      <c r="K105" s="369"/>
    </row>
    <row r="106" spans="1:11" ht="13.15" customHeight="1" x14ac:dyDescent="0.25">
      <c r="A106" s="20" t="s">
        <v>934</v>
      </c>
      <c r="B106" s="237"/>
      <c r="C106" s="368"/>
      <c r="D106" s="368"/>
      <c r="E106" s="369"/>
      <c r="F106" s="370"/>
      <c r="G106" s="368"/>
      <c r="H106" s="371"/>
      <c r="I106" s="370"/>
      <c r="J106" s="368"/>
      <c r="K106" s="369"/>
    </row>
    <row r="107" spans="1:11" ht="13.15" customHeight="1" x14ac:dyDescent="0.25">
      <c r="A107" s="20" t="s">
        <v>935</v>
      </c>
      <c r="B107" s="237"/>
      <c r="C107" s="368"/>
      <c r="D107" s="368"/>
      <c r="E107" s="369"/>
      <c r="F107" s="370"/>
      <c r="G107" s="368"/>
      <c r="H107" s="371"/>
      <c r="I107" s="370"/>
      <c r="J107" s="368"/>
      <c r="K107" s="369"/>
    </row>
    <row r="108" spans="1:11" ht="13.15" customHeight="1" x14ac:dyDescent="0.25">
      <c r="A108" s="20" t="s">
        <v>936</v>
      </c>
      <c r="B108" s="237"/>
      <c r="C108" s="368"/>
      <c r="D108" s="368"/>
      <c r="E108" s="369"/>
      <c r="F108" s="370"/>
      <c r="G108" s="368"/>
      <c r="H108" s="371"/>
      <c r="I108" s="370"/>
      <c r="J108" s="368"/>
      <c r="K108" s="369"/>
    </row>
    <row r="109" spans="1:11" ht="5.0999999999999996" customHeight="1" x14ac:dyDescent="0.25">
      <c r="A109" s="21"/>
      <c r="B109" s="237"/>
      <c r="C109" s="23"/>
      <c r="D109" s="23"/>
      <c r="E109" s="240"/>
      <c r="F109" s="241"/>
      <c r="G109" s="23"/>
      <c r="H109" s="22"/>
      <c r="I109" s="241"/>
      <c r="J109" s="23"/>
      <c r="K109" s="240"/>
    </row>
    <row r="110" spans="1:11" ht="13.15" customHeight="1" x14ac:dyDescent="0.25">
      <c r="A110" s="19" t="s">
        <v>188</v>
      </c>
      <c r="B110" s="237"/>
      <c r="C110" s="26">
        <f>+C111+C114</f>
        <v>0</v>
      </c>
      <c r="D110" s="26">
        <f t="shared" ref="D110:K110" si="14">+D111+D114</f>
        <v>0</v>
      </c>
      <c r="E110" s="233">
        <f t="shared" si="14"/>
        <v>0</v>
      </c>
      <c r="F110" s="232">
        <f t="shared" si="14"/>
        <v>0</v>
      </c>
      <c r="G110" s="26">
        <f t="shared" si="14"/>
        <v>0</v>
      </c>
      <c r="H110" s="25">
        <f t="shared" si="14"/>
        <v>0</v>
      </c>
      <c r="I110" s="232">
        <f t="shared" si="14"/>
        <v>0</v>
      </c>
      <c r="J110" s="26">
        <f t="shared" si="14"/>
        <v>0</v>
      </c>
      <c r="K110" s="233">
        <f t="shared" si="14"/>
        <v>0</v>
      </c>
    </row>
    <row r="111" spans="1:11" ht="13.15" customHeight="1" x14ac:dyDescent="0.25">
      <c r="A111" s="20" t="s">
        <v>937</v>
      </c>
      <c r="B111" s="237"/>
      <c r="C111" s="48">
        <f t="shared" ref="C111:K111" si="15">SUM(C112:C113)</f>
        <v>0</v>
      </c>
      <c r="D111" s="48">
        <f t="shared" si="15"/>
        <v>0</v>
      </c>
      <c r="E111" s="48">
        <f t="shared" si="15"/>
        <v>0</v>
      </c>
      <c r="F111" s="49">
        <f t="shared" si="15"/>
        <v>0</v>
      </c>
      <c r="G111" s="48">
        <f t="shared" si="15"/>
        <v>0</v>
      </c>
      <c r="H111" s="100">
        <f t="shared" si="15"/>
        <v>0</v>
      </c>
      <c r="I111" s="318">
        <f t="shared" si="15"/>
        <v>0</v>
      </c>
      <c r="J111" s="48">
        <f t="shared" si="15"/>
        <v>0</v>
      </c>
      <c r="K111" s="100">
        <f t="shared" si="15"/>
        <v>0</v>
      </c>
    </row>
    <row r="112" spans="1:11" ht="13.15" customHeight="1" x14ac:dyDescent="0.25">
      <c r="A112" s="238" t="s">
        <v>938</v>
      </c>
      <c r="B112" s="237"/>
      <c r="C112" s="354"/>
      <c r="D112" s="354"/>
      <c r="E112" s="357"/>
      <c r="F112" s="356"/>
      <c r="G112" s="354"/>
      <c r="H112" s="357"/>
      <c r="I112" s="356"/>
      <c r="J112" s="354"/>
      <c r="K112" s="361"/>
    </row>
    <row r="113" spans="1:11" ht="13.15" customHeight="1" x14ac:dyDescent="0.25">
      <c r="A113" s="238" t="s">
        <v>939</v>
      </c>
      <c r="B113" s="237"/>
      <c r="C113" s="354"/>
      <c r="D113" s="354"/>
      <c r="E113" s="355"/>
      <c r="F113" s="356"/>
      <c r="G113" s="354"/>
      <c r="H113" s="357"/>
      <c r="I113" s="356"/>
      <c r="J113" s="354"/>
      <c r="K113" s="361"/>
    </row>
    <row r="114" spans="1:11" ht="13.15" customHeight="1" x14ac:dyDescent="0.25">
      <c r="A114" s="20" t="s">
        <v>940</v>
      </c>
      <c r="B114" s="237"/>
      <c r="C114" s="23">
        <f>SUM(C115:C116)</f>
        <v>0</v>
      </c>
      <c r="D114" s="23">
        <f t="shared" ref="D114:K114" si="16">SUM(D115:D116)</f>
        <v>0</v>
      </c>
      <c r="E114" s="23">
        <f t="shared" si="16"/>
        <v>0</v>
      </c>
      <c r="F114" s="24">
        <f t="shared" si="16"/>
        <v>0</v>
      </c>
      <c r="G114" s="23">
        <f t="shared" si="16"/>
        <v>0</v>
      </c>
      <c r="H114" s="83">
        <f t="shared" si="16"/>
        <v>0</v>
      </c>
      <c r="I114" s="319">
        <f t="shared" si="16"/>
        <v>0</v>
      </c>
      <c r="J114" s="23">
        <f t="shared" si="16"/>
        <v>0</v>
      </c>
      <c r="K114" s="83">
        <f t="shared" si="16"/>
        <v>0</v>
      </c>
    </row>
    <row r="115" spans="1:11" ht="13.15" customHeight="1" x14ac:dyDescent="0.25">
      <c r="A115" s="238" t="s">
        <v>938</v>
      </c>
      <c r="B115" s="237"/>
      <c r="C115" s="354"/>
      <c r="D115" s="354"/>
      <c r="E115" s="357"/>
      <c r="F115" s="356"/>
      <c r="G115" s="354"/>
      <c r="H115" s="357"/>
      <c r="I115" s="356"/>
      <c r="J115" s="354"/>
      <c r="K115" s="361"/>
    </row>
    <row r="116" spans="1:11" ht="13.15" customHeight="1" x14ac:dyDescent="0.25">
      <c r="A116" s="238" t="s">
        <v>939</v>
      </c>
      <c r="B116" s="237"/>
      <c r="C116" s="354"/>
      <c r="D116" s="354"/>
      <c r="E116" s="355"/>
      <c r="F116" s="356"/>
      <c r="G116" s="354"/>
      <c r="H116" s="357"/>
      <c r="I116" s="356"/>
      <c r="J116" s="354"/>
      <c r="K116" s="361"/>
    </row>
    <row r="117" spans="1:11" ht="5.0999999999999996" customHeight="1" x14ac:dyDescent="0.25">
      <c r="A117" s="21"/>
      <c r="B117" s="237"/>
      <c r="C117" s="23"/>
      <c r="D117" s="23"/>
      <c r="E117" s="240"/>
      <c r="F117" s="241"/>
      <c r="G117" s="23"/>
      <c r="H117" s="22"/>
      <c r="I117" s="241"/>
      <c r="J117" s="23"/>
      <c r="K117" s="240"/>
    </row>
    <row r="118" spans="1:11" ht="13.15" customHeight="1" x14ac:dyDescent="0.25">
      <c r="A118" s="19" t="s">
        <v>189</v>
      </c>
      <c r="B118" s="237"/>
      <c r="C118" s="26">
        <f>+C119+C131</f>
        <v>0</v>
      </c>
      <c r="D118" s="26">
        <f t="shared" ref="D118:K118" si="17">+D119+D131</f>
        <v>0</v>
      </c>
      <c r="E118" s="233">
        <f t="shared" si="17"/>
        <v>0</v>
      </c>
      <c r="F118" s="232">
        <f t="shared" si="17"/>
        <v>0</v>
      </c>
      <c r="G118" s="26">
        <f t="shared" si="17"/>
        <v>0</v>
      </c>
      <c r="H118" s="25">
        <f t="shared" si="17"/>
        <v>0</v>
      </c>
      <c r="I118" s="232">
        <f t="shared" si="17"/>
        <v>0</v>
      </c>
      <c r="J118" s="26">
        <f t="shared" si="17"/>
        <v>0</v>
      </c>
      <c r="K118" s="233">
        <f t="shared" si="17"/>
        <v>0</v>
      </c>
    </row>
    <row r="119" spans="1:11" ht="13.15" customHeight="1" x14ac:dyDescent="0.25">
      <c r="A119" s="20" t="s">
        <v>941</v>
      </c>
      <c r="B119" s="237"/>
      <c r="C119" s="48">
        <f>SUM(C120:C130)</f>
        <v>0</v>
      </c>
      <c r="D119" s="48">
        <f t="shared" ref="D119:K119" si="18">SUM(D120:D130)</f>
        <v>0</v>
      </c>
      <c r="E119" s="48">
        <f t="shared" si="18"/>
        <v>0</v>
      </c>
      <c r="F119" s="49">
        <f t="shared" si="18"/>
        <v>0</v>
      </c>
      <c r="G119" s="48">
        <f t="shared" si="18"/>
        <v>0</v>
      </c>
      <c r="H119" s="100">
        <f t="shared" si="18"/>
        <v>0</v>
      </c>
      <c r="I119" s="318">
        <f t="shared" si="18"/>
        <v>0</v>
      </c>
      <c r="J119" s="48">
        <f t="shared" si="18"/>
        <v>0</v>
      </c>
      <c r="K119" s="100">
        <f t="shared" si="18"/>
        <v>0</v>
      </c>
    </row>
    <row r="120" spans="1:11" ht="13.15" customHeight="1" x14ac:dyDescent="0.25">
      <c r="A120" s="238" t="s">
        <v>942</v>
      </c>
      <c r="B120" s="237"/>
      <c r="C120" s="354"/>
      <c r="D120" s="354"/>
      <c r="E120" s="357"/>
      <c r="F120" s="356"/>
      <c r="G120" s="354"/>
      <c r="H120" s="357"/>
      <c r="I120" s="356"/>
      <c r="J120" s="354"/>
      <c r="K120" s="361"/>
    </row>
    <row r="121" spans="1:11" ht="13.15" customHeight="1" x14ac:dyDescent="0.25">
      <c r="A121" s="238" t="s">
        <v>943</v>
      </c>
      <c r="B121" s="237"/>
      <c r="C121" s="354"/>
      <c r="D121" s="354"/>
      <c r="E121" s="357"/>
      <c r="F121" s="356"/>
      <c r="G121" s="354"/>
      <c r="H121" s="357"/>
      <c r="I121" s="356"/>
      <c r="J121" s="354"/>
      <c r="K121" s="361"/>
    </row>
    <row r="122" spans="1:11" ht="13.15" customHeight="1" x14ac:dyDescent="0.25">
      <c r="A122" s="238" t="s">
        <v>944</v>
      </c>
      <c r="B122" s="237"/>
      <c r="C122" s="354"/>
      <c r="D122" s="354"/>
      <c r="E122" s="357"/>
      <c r="F122" s="356"/>
      <c r="G122" s="354"/>
      <c r="H122" s="357"/>
      <c r="I122" s="356"/>
      <c r="J122" s="354"/>
      <c r="K122" s="361"/>
    </row>
    <row r="123" spans="1:11" ht="13.15" customHeight="1" x14ac:dyDescent="0.25">
      <c r="A123" s="238" t="s">
        <v>945</v>
      </c>
      <c r="B123" s="237"/>
      <c r="C123" s="354"/>
      <c r="D123" s="354"/>
      <c r="E123" s="357"/>
      <c r="F123" s="356"/>
      <c r="G123" s="354"/>
      <c r="H123" s="357"/>
      <c r="I123" s="356"/>
      <c r="J123" s="354"/>
      <c r="K123" s="361"/>
    </row>
    <row r="124" spans="1:11" ht="13.15" customHeight="1" x14ac:dyDescent="0.25">
      <c r="A124" s="238" t="s">
        <v>946</v>
      </c>
      <c r="B124" s="237"/>
      <c r="C124" s="354"/>
      <c r="D124" s="354"/>
      <c r="E124" s="357"/>
      <c r="F124" s="356"/>
      <c r="G124" s="354"/>
      <c r="H124" s="357"/>
      <c r="I124" s="356"/>
      <c r="J124" s="354"/>
      <c r="K124" s="361"/>
    </row>
    <row r="125" spans="1:11" ht="13.15" customHeight="1" x14ac:dyDescent="0.25">
      <c r="A125" s="238" t="s">
        <v>947</v>
      </c>
      <c r="B125" s="237"/>
      <c r="C125" s="354"/>
      <c r="D125" s="354"/>
      <c r="E125" s="357"/>
      <c r="F125" s="356"/>
      <c r="G125" s="354"/>
      <c r="H125" s="357"/>
      <c r="I125" s="356"/>
      <c r="J125" s="354"/>
      <c r="K125" s="361"/>
    </row>
    <row r="126" spans="1:11" ht="13.15" customHeight="1" x14ac:dyDescent="0.25">
      <c r="A126" s="238" t="s">
        <v>948</v>
      </c>
      <c r="B126" s="237"/>
      <c r="C126" s="354"/>
      <c r="D126" s="354"/>
      <c r="E126" s="357"/>
      <c r="F126" s="356"/>
      <c r="G126" s="354"/>
      <c r="H126" s="357"/>
      <c r="I126" s="356"/>
      <c r="J126" s="354"/>
      <c r="K126" s="361"/>
    </row>
    <row r="127" spans="1:11" ht="13.15" customHeight="1" x14ac:dyDescent="0.25">
      <c r="A127" s="238" t="s">
        <v>949</v>
      </c>
      <c r="B127" s="237"/>
      <c r="C127" s="354"/>
      <c r="D127" s="354"/>
      <c r="E127" s="357"/>
      <c r="F127" s="356"/>
      <c r="G127" s="354"/>
      <c r="H127" s="357"/>
      <c r="I127" s="356"/>
      <c r="J127" s="354"/>
      <c r="K127" s="361"/>
    </row>
    <row r="128" spans="1:11" ht="13.15" customHeight="1" x14ac:dyDescent="0.25">
      <c r="A128" s="238" t="s">
        <v>950</v>
      </c>
      <c r="B128" s="237"/>
      <c r="C128" s="354"/>
      <c r="D128" s="354"/>
      <c r="E128" s="357"/>
      <c r="F128" s="356"/>
      <c r="G128" s="354"/>
      <c r="H128" s="357"/>
      <c r="I128" s="356"/>
      <c r="J128" s="354"/>
      <c r="K128" s="361"/>
    </row>
    <row r="129" spans="1:11" ht="13.15" customHeight="1" x14ac:dyDescent="0.25">
      <c r="A129" s="238" t="s">
        <v>951</v>
      </c>
      <c r="B129" s="237"/>
      <c r="C129" s="354"/>
      <c r="D129" s="354"/>
      <c r="E129" s="357"/>
      <c r="F129" s="356"/>
      <c r="G129" s="354"/>
      <c r="H129" s="357"/>
      <c r="I129" s="356"/>
      <c r="J129" s="354"/>
      <c r="K129" s="361"/>
    </row>
    <row r="130" spans="1:11" ht="13.15" customHeight="1" x14ac:dyDescent="0.25">
      <c r="A130" s="238" t="s">
        <v>861</v>
      </c>
      <c r="B130" s="237"/>
      <c r="C130" s="354"/>
      <c r="D130" s="354"/>
      <c r="E130" s="357"/>
      <c r="F130" s="356"/>
      <c r="G130" s="354"/>
      <c r="H130" s="357"/>
      <c r="I130" s="356"/>
      <c r="J130" s="354"/>
      <c r="K130" s="361"/>
    </row>
    <row r="131" spans="1:11" ht="13.15" customHeight="1" x14ac:dyDescent="0.25">
      <c r="A131" s="20" t="s">
        <v>952</v>
      </c>
      <c r="B131" s="237"/>
      <c r="C131" s="23">
        <f>SUM(C132:C134)</f>
        <v>0</v>
      </c>
      <c r="D131" s="23">
        <f t="shared" ref="D131:K131" si="19">SUM(D132:D134)</f>
        <v>0</v>
      </c>
      <c r="E131" s="23">
        <f t="shared" si="19"/>
        <v>0</v>
      </c>
      <c r="F131" s="24">
        <f t="shared" si="19"/>
        <v>0</v>
      </c>
      <c r="G131" s="23">
        <f t="shared" si="19"/>
        <v>0</v>
      </c>
      <c r="H131" s="83">
        <f t="shared" si="19"/>
        <v>0</v>
      </c>
      <c r="I131" s="319">
        <f t="shared" si="19"/>
        <v>0</v>
      </c>
      <c r="J131" s="23">
        <f t="shared" si="19"/>
        <v>0</v>
      </c>
      <c r="K131" s="83">
        <f t="shared" si="19"/>
        <v>0</v>
      </c>
    </row>
    <row r="132" spans="1:11" ht="13.15" customHeight="1" x14ac:dyDescent="0.25">
      <c r="A132" s="238" t="s">
        <v>953</v>
      </c>
      <c r="B132" s="237"/>
      <c r="C132" s="354"/>
      <c r="D132" s="354"/>
      <c r="E132" s="357"/>
      <c r="F132" s="356"/>
      <c r="G132" s="354"/>
      <c r="H132" s="357"/>
      <c r="I132" s="356"/>
      <c r="J132" s="354"/>
      <c r="K132" s="361"/>
    </row>
    <row r="133" spans="1:11" ht="13.15" customHeight="1" x14ac:dyDescent="0.25">
      <c r="A133" s="238" t="s">
        <v>954</v>
      </c>
      <c r="B133" s="237"/>
      <c r="C133" s="354"/>
      <c r="D133" s="354"/>
      <c r="E133" s="357"/>
      <c r="F133" s="356"/>
      <c r="G133" s="354"/>
      <c r="H133" s="357"/>
      <c r="I133" s="356"/>
      <c r="J133" s="354"/>
      <c r="K133" s="361"/>
    </row>
    <row r="134" spans="1:11" ht="13.15" customHeight="1" x14ac:dyDescent="0.25">
      <c r="A134" s="238" t="s">
        <v>861</v>
      </c>
      <c r="B134" s="237"/>
      <c r="C134" s="354"/>
      <c r="D134" s="354"/>
      <c r="E134" s="357"/>
      <c r="F134" s="356"/>
      <c r="G134" s="354"/>
      <c r="H134" s="357"/>
      <c r="I134" s="356"/>
      <c r="J134" s="354"/>
      <c r="K134" s="361"/>
    </row>
    <row r="135" spans="1:11" ht="5.0999999999999996" customHeight="1" x14ac:dyDescent="0.25">
      <c r="A135" s="242"/>
      <c r="B135" s="237"/>
      <c r="C135" s="23"/>
      <c r="D135" s="23"/>
      <c r="E135" s="240"/>
      <c r="F135" s="241"/>
      <c r="G135" s="23"/>
      <c r="H135" s="22"/>
      <c r="I135" s="241"/>
      <c r="J135" s="23"/>
      <c r="K135" s="240"/>
    </row>
    <row r="136" spans="1:11" ht="13.15" customHeight="1" x14ac:dyDescent="0.25">
      <c r="A136" s="19" t="s">
        <v>955</v>
      </c>
      <c r="B136" s="237"/>
      <c r="C136" s="23">
        <f t="shared" ref="C136:K136" si="20">SUM(C137:C137)</f>
        <v>0</v>
      </c>
      <c r="D136" s="23">
        <f t="shared" si="20"/>
        <v>0</v>
      </c>
      <c r="E136" s="240">
        <f t="shared" si="20"/>
        <v>0</v>
      </c>
      <c r="F136" s="241">
        <f t="shared" si="20"/>
        <v>0</v>
      </c>
      <c r="G136" s="23">
        <f t="shared" si="20"/>
        <v>0</v>
      </c>
      <c r="H136" s="22">
        <f t="shared" si="20"/>
        <v>0</v>
      </c>
      <c r="I136" s="241">
        <f t="shared" si="20"/>
        <v>0</v>
      </c>
      <c r="J136" s="23">
        <f t="shared" si="20"/>
        <v>0</v>
      </c>
      <c r="K136" s="240">
        <f t="shared" si="20"/>
        <v>0</v>
      </c>
    </row>
    <row r="137" spans="1:11" ht="13.15" customHeight="1" x14ac:dyDescent="0.25">
      <c r="A137" s="20" t="s">
        <v>955</v>
      </c>
      <c r="B137" s="237"/>
      <c r="C137" s="372"/>
      <c r="D137" s="372"/>
      <c r="E137" s="373"/>
      <c r="F137" s="374"/>
      <c r="G137" s="372"/>
      <c r="H137" s="375"/>
      <c r="I137" s="374"/>
      <c r="J137" s="372"/>
      <c r="K137" s="373"/>
    </row>
    <row r="138" spans="1:11" ht="5.0999999999999996" customHeight="1" x14ac:dyDescent="0.25">
      <c r="A138" s="21"/>
      <c r="B138" s="237"/>
      <c r="C138" s="23"/>
      <c r="D138" s="23"/>
      <c r="E138" s="240"/>
      <c r="F138" s="241"/>
      <c r="G138" s="23"/>
      <c r="H138" s="22"/>
      <c r="I138" s="241"/>
      <c r="J138" s="23"/>
      <c r="K138" s="240"/>
    </row>
    <row r="139" spans="1:11" ht="13.15" customHeight="1" x14ac:dyDescent="0.25">
      <c r="A139" s="19" t="s">
        <v>956</v>
      </c>
      <c r="B139" s="237"/>
      <c r="C139" s="23">
        <f>+C140+C141</f>
        <v>0</v>
      </c>
      <c r="D139" s="23">
        <f t="shared" ref="D139:K139" si="21">+D140+D141</f>
        <v>0</v>
      </c>
      <c r="E139" s="240">
        <f t="shared" si="21"/>
        <v>0</v>
      </c>
      <c r="F139" s="241">
        <f t="shared" si="21"/>
        <v>0</v>
      </c>
      <c r="G139" s="23">
        <f t="shared" si="21"/>
        <v>0</v>
      </c>
      <c r="H139" s="22">
        <f t="shared" si="21"/>
        <v>0</v>
      </c>
      <c r="I139" s="241">
        <f t="shared" si="21"/>
        <v>0</v>
      </c>
      <c r="J139" s="23">
        <f t="shared" si="21"/>
        <v>0</v>
      </c>
      <c r="K139" s="240">
        <f t="shared" si="21"/>
        <v>0</v>
      </c>
    </row>
    <row r="140" spans="1:11" ht="13.15" customHeight="1" x14ac:dyDescent="0.25">
      <c r="A140" s="20" t="s">
        <v>957</v>
      </c>
      <c r="B140" s="237"/>
      <c r="C140" s="372"/>
      <c r="D140" s="372"/>
      <c r="E140" s="373"/>
      <c r="F140" s="374"/>
      <c r="G140" s="372"/>
      <c r="H140" s="375"/>
      <c r="I140" s="374"/>
      <c r="J140" s="372"/>
      <c r="K140" s="373"/>
    </row>
    <row r="141" spans="1:11" ht="13.15" customHeight="1" x14ac:dyDescent="0.25">
      <c r="A141" s="20" t="s">
        <v>958</v>
      </c>
      <c r="B141" s="237"/>
      <c r="C141" s="23">
        <f>SUM(C142:C147)</f>
        <v>0</v>
      </c>
      <c r="D141" s="23">
        <f t="shared" ref="D141:K141" si="22">SUM(D142:D147)</f>
        <v>0</v>
      </c>
      <c r="E141" s="23">
        <f t="shared" si="22"/>
        <v>0</v>
      </c>
      <c r="F141" s="24">
        <f t="shared" si="22"/>
        <v>0</v>
      </c>
      <c r="G141" s="23">
        <f t="shared" si="22"/>
        <v>0</v>
      </c>
      <c r="H141" s="83">
        <f t="shared" si="22"/>
        <v>0</v>
      </c>
      <c r="I141" s="319">
        <f t="shared" si="22"/>
        <v>0</v>
      </c>
      <c r="J141" s="23">
        <f t="shared" si="22"/>
        <v>0</v>
      </c>
      <c r="K141" s="83">
        <f t="shared" si="22"/>
        <v>0</v>
      </c>
    </row>
    <row r="142" spans="1:11" ht="13.15" customHeight="1" x14ac:dyDescent="0.25">
      <c r="A142" s="238" t="s">
        <v>959</v>
      </c>
      <c r="B142" s="237"/>
      <c r="C142" s="354"/>
      <c r="D142" s="354"/>
      <c r="E142" s="357"/>
      <c r="F142" s="356"/>
      <c r="G142" s="354"/>
      <c r="H142" s="357"/>
      <c r="I142" s="356"/>
      <c r="J142" s="354"/>
      <c r="K142" s="361"/>
    </row>
    <row r="143" spans="1:11" ht="13.15" customHeight="1" x14ac:dyDescent="0.25">
      <c r="A143" s="238" t="s">
        <v>960</v>
      </c>
      <c r="B143" s="237"/>
      <c r="C143" s="354"/>
      <c r="D143" s="354"/>
      <c r="E143" s="357"/>
      <c r="F143" s="356"/>
      <c r="G143" s="354"/>
      <c r="H143" s="357"/>
      <c r="I143" s="356"/>
      <c r="J143" s="354"/>
      <c r="K143" s="361"/>
    </row>
    <row r="144" spans="1:11" ht="13.15" customHeight="1" x14ac:dyDescent="0.25">
      <c r="A144" s="238" t="s">
        <v>961</v>
      </c>
      <c r="B144" s="237"/>
      <c r="C144" s="354"/>
      <c r="D144" s="354"/>
      <c r="E144" s="357"/>
      <c r="F144" s="356"/>
      <c r="G144" s="354"/>
      <c r="H144" s="357"/>
      <c r="I144" s="356"/>
      <c r="J144" s="354"/>
      <c r="K144" s="361"/>
    </row>
    <row r="145" spans="1:11" ht="13.15" customHeight="1" x14ac:dyDescent="0.25">
      <c r="A145" s="238" t="s">
        <v>962</v>
      </c>
      <c r="B145" s="237"/>
      <c r="C145" s="354"/>
      <c r="D145" s="354"/>
      <c r="E145" s="357"/>
      <c r="F145" s="356"/>
      <c r="G145" s="354"/>
      <c r="H145" s="357"/>
      <c r="I145" s="356"/>
      <c r="J145" s="354"/>
      <c r="K145" s="361"/>
    </row>
    <row r="146" spans="1:11" ht="13.15" customHeight="1" x14ac:dyDescent="0.25">
      <c r="A146" s="238" t="s">
        <v>963</v>
      </c>
      <c r="B146" s="237"/>
      <c r="C146" s="354"/>
      <c r="D146" s="354"/>
      <c r="E146" s="357"/>
      <c r="F146" s="356"/>
      <c r="G146" s="354"/>
      <c r="H146" s="357"/>
      <c r="I146" s="356"/>
      <c r="J146" s="354"/>
      <c r="K146" s="361"/>
    </row>
    <row r="147" spans="1:11" ht="13.15" customHeight="1" x14ac:dyDescent="0.25">
      <c r="A147" s="238" t="s">
        <v>964</v>
      </c>
      <c r="B147" s="237"/>
      <c r="C147" s="354"/>
      <c r="D147" s="354"/>
      <c r="E147" s="357"/>
      <c r="F147" s="356"/>
      <c r="G147" s="354"/>
      <c r="H147" s="357"/>
      <c r="I147" s="356"/>
      <c r="J147" s="354"/>
      <c r="K147" s="361"/>
    </row>
    <row r="148" spans="1:11" ht="5.0999999999999996" customHeight="1" x14ac:dyDescent="0.25">
      <c r="A148" s="21"/>
      <c r="B148" s="237"/>
      <c r="C148" s="26"/>
      <c r="D148" s="26"/>
      <c r="E148" s="233"/>
      <c r="F148" s="232"/>
      <c r="G148" s="26"/>
      <c r="H148" s="25"/>
      <c r="I148" s="232"/>
      <c r="J148" s="26"/>
      <c r="K148" s="233"/>
    </row>
    <row r="149" spans="1:11" ht="13.15" customHeight="1" x14ac:dyDescent="0.25">
      <c r="A149" s="19" t="s">
        <v>965</v>
      </c>
      <c r="B149" s="237"/>
      <c r="C149" s="23">
        <f t="shared" ref="C149:K149" si="23">SUM(C150:C150)</f>
        <v>0</v>
      </c>
      <c r="D149" s="23">
        <f t="shared" si="23"/>
        <v>0</v>
      </c>
      <c r="E149" s="240">
        <f t="shared" si="23"/>
        <v>0</v>
      </c>
      <c r="F149" s="241">
        <f t="shared" si="23"/>
        <v>0</v>
      </c>
      <c r="G149" s="23">
        <f t="shared" si="23"/>
        <v>0</v>
      </c>
      <c r="H149" s="22">
        <f t="shared" si="23"/>
        <v>0</v>
      </c>
      <c r="I149" s="241">
        <f t="shared" si="23"/>
        <v>0</v>
      </c>
      <c r="J149" s="23">
        <f t="shared" si="23"/>
        <v>0</v>
      </c>
      <c r="K149" s="240">
        <f t="shared" si="23"/>
        <v>0</v>
      </c>
    </row>
    <row r="150" spans="1:11" ht="13.15" customHeight="1" x14ac:dyDescent="0.25">
      <c r="A150" s="20" t="s">
        <v>965</v>
      </c>
      <c r="B150" s="237"/>
      <c r="C150" s="372"/>
      <c r="D150" s="372"/>
      <c r="E150" s="373"/>
      <c r="F150" s="374"/>
      <c r="G150" s="372"/>
      <c r="H150" s="375"/>
      <c r="I150" s="374"/>
      <c r="J150" s="372"/>
      <c r="K150" s="373"/>
    </row>
    <row r="151" spans="1:11" ht="5.0999999999999996" customHeight="1" x14ac:dyDescent="0.25">
      <c r="A151" s="21"/>
      <c r="B151" s="237"/>
      <c r="C151" s="23"/>
      <c r="D151" s="23"/>
      <c r="E151" s="240"/>
      <c r="F151" s="241"/>
      <c r="G151" s="23"/>
      <c r="H151" s="22"/>
      <c r="I151" s="241"/>
      <c r="J151" s="23"/>
      <c r="K151" s="240"/>
    </row>
    <row r="152" spans="1:11" ht="13.15" customHeight="1" x14ac:dyDescent="0.25">
      <c r="A152" s="19" t="s">
        <v>966</v>
      </c>
      <c r="B152" s="237"/>
      <c r="C152" s="23">
        <f t="shared" ref="C152:K152" si="24">SUM(C153:C153)</f>
        <v>0</v>
      </c>
      <c r="D152" s="23">
        <f t="shared" si="24"/>
        <v>0</v>
      </c>
      <c r="E152" s="240">
        <f t="shared" si="24"/>
        <v>0</v>
      </c>
      <c r="F152" s="241">
        <f t="shared" si="24"/>
        <v>0</v>
      </c>
      <c r="G152" s="23">
        <f t="shared" si="24"/>
        <v>0</v>
      </c>
      <c r="H152" s="22">
        <f t="shared" si="24"/>
        <v>0</v>
      </c>
      <c r="I152" s="241">
        <f t="shared" si="24"/>
        <v>0</v>
      </c>
      <c r="J152" s="23">
        <f t="shared" si="24"/>
        <v>0</v>
      </c>
      <c r="K152" s="240">
        <f t="shared" si="24"/>
        <v>0</v>
      </c>
    </row>
    <row r="153" spans="1:11" ht="13.15" customHeight="1" x14ac:dyDescent="0.25">
      <c r="A153" s="20" t="s">
        <v>966</v>
      </c>
      <c r="B153" s="237"/>
      <c r="C153" s="372"/>
      <c r="D153" s="372"/>
      <c r="E153" s="373"/>
      <c r="F153" s="374"/>
      <c r="G153" s="372"/>
      <c r="H153" s="375"/>
      <c r="I153" s="374"/>
      <c r="J153" s="372"/>
      <c r="K153" s="373"/>
    </row>
    <row r="154" spans="1:11" ht="5.0999999999999996" customHeight="1" x14ac:dyDescent="0.25">
      <c r="A154" s="21"/>
      <c r="B154" s="237"/>
      <c r="C154" s="23"/>
      <c r="D154" s="23"/>
      <c r="E154" s="240"/>
      <c r="F154" s="241"/>
      <c r="G154" s="23"/>
      <c r="H154" s="22"/>
      <c r="I154" s="241"/>
      <c r="J154" s="23"/>
      <c r="K154" s="240"/>
    </row>
    <row r="155" spans="1:11" ht="13.15" customHeight="1" x14ac:dyDescent="0.25">
      <c r="A155" s="19" t="s">
        <v>967</v>
      </c>
      <c r="B155" s="237"/>
      <c r="C155" s="23">
        <f t="shared" ref="C155:K155" si="25">SUM(C156:C156)</f>
        <v>0</v>
      </c>
      <c r="D155" s="23">
        <f t="shared" si="25"/>
        <v>0</v>
      </c>
      <c r="E155" s="240">
        <f t="shared" si="25"/>
        <v>0</v>
      </c>
      <c r="F155" s="241">
        <f t="shared" si="25"/>
        <v>0</v>
      </c>
      <c r="G155" s="23">
        <f t="shared" si="25"/>
        <v>0</v>
      </c>
      <c r="H155" s="22">
        <f t="shared" si="25"/>
        <v>0</v>
      </c>
      <c r="I155" s="241">
        <f t="shared" si="25"/>
        <v>0</v>
      </c>
      <c r="J155" s="23">
        <f t="shared" si="25"/>
        <v>0</v>
      </c>
      <c r="K155" s="240">
        <f t="shared" si="25"/>
        <v>0</v>
      </c>
    </row>
    <row r="156" spans="1:11" ht="13.15" customHeight="1" x14ac:dyDescent="0.25">
      <c r="A156" s="20" t="s">
        <v>967</v>
      </c>
      <c r="B156" s="237"/>
      <c r="C156" s="372"/>
      <c r="D156" s="372"/>
      <c r="E156" s="373"/>
      <c r="F156" s="374"/>
      <c r="G156" s="372"/>
      <c r="H156" s="375"/>
      <c r="I156" s="374"/>
      <c r="J156" s="372"/>
      <c r="K156" s="373"/>
    </row>
    <row r="157" spans="1:11" ht="5.0999999999999996" customHeight="1" x14ac:dyDescent="0.25">
      <c r="A157" s="21"/>
      <c r="B157" s="237"/>
      <c r="C157" s="23"/>
      <c r="D157" s="23"/>
      <c r="E157" s="240"/>
      <c r="F157" s="241"/>
      <c r="G157" s="23"/>
      <c r="H157" s="22"/>
      <c r="I157" s="241"/>
      <c r="J157" s="23"/>
      <c r="K157" s="240"/>
    </row>
    <row r="158" spans="1:11" ht="13.15" customHeight="1" x14ac:dyDescent="0.25">
      <c r="A158" s="19" t="s">
        <v>968</v>
      </c>
      <c r="B158" s="237"/>
      <c r="C158" s="23">
        <f t="shared" ref="C158:K158" si="26">SUM(C159:C159)</f>
        <v>0</v>
      </c>
      <c r="D158" s="23">
        <f t="shared" si="26"/>
        <v>0</v>
      </c>
      <c r="E158" s="240">
        <f t="shared" si="26"/>
        <v>0</v>
      </c>
      <c r="F158" s="241">
        <f t="shared" si="26"/>
        <v>0</v>
      </c>
      <c r="G158" s="23">
        <f t="shared" si="26"/>
        <v>0</v>
      </c>
      <c r="H158" s="22">
        <f t="shared" si="26"/>
        <v>0</v>
      </c>
      <c r="I158" s="241">
        <f t="shared" si="26"/>
        <v>0</v>
      </c>
      <c r="J158" s="23">
        <f t="shared" si="26"/>
        <v>0</v>
      </c>
      <c r="K158" s="240">
        <f t="shared" si="26"/>
        <v>0</v>
      </c>
    </row>
    <row r="159" spans="1:11" ht="13.15" customHeight="1" x14ac:dyDescent="0.25">
      <c r="A159" s="20" t="s">
        <v>968</v>
      </c>
      <c r="B159" s="237"/>
      <c r="C159" s="372"/>
      <c r="D159" s="372"/>
      <c r="E159" s="373"/>
      <c r="F159" s="374"/>
      <c r="G159" s="372"/>
      <c r="H159" s="375"/>
      <c r="I159" s="374"/>
      <c r="J159" s="372"/>
      <c r="K159" s="373"/>
    </row>
    <row r="160" spans="1:11" ht="5.0999999999999996" customHeight="1" x14ac:dyDescent="0.25">
      <c r="A160" s="21"/>
      <c r="B160" s="237"/>
      <c r="C160" s="23"/>
      <c r="D160" s="23"/>
      <c r="E160" s="240"/>
      <c r="F160" s="241"/>
      <c r="G160" s="23"/>
      <c r="H160" s="22"/>
      <c r="I160" s="241"/>
      <c r="J160" s="23"/>
      <c r="K160" s="240"/>
    </row>
    <row r="161" spans="1:11" ht="13.15" customHeight="1" x14ac:dyDescent="0.25">
      <c r="A161" s="19" t="s">
        <v>983</v>
      </c>
      <c r="B161" s="237"/>
      <c r="C161" s="23">
        <f t="shared" ref="C161:K161" si="27">SUM(C162:C162)</f>
        <v>0</v>
      </c>
      <c r="D161" s="23">
        <f t="shared" si="27"/>
        <v>0</v>
      </c>
      <c r="E161" s="240">
        <f t="shared" si="27"/>
        <v>0</v>
      </c>
      <c r="F161" s="241">
        <f t="shared" si="27"/>
        <v>0</v>
      </c>
      <c r="G161" s="23">
        <f t="shared" si="27"/>
        <v>0</v>
      </c>
      <c r="H161" s="22">
        <f t="shared" si="27"/>
        <v>0</v>
      </c>
      <c r="I161" s="241">
        <f t="shared" si="27"/>
        <v>0</v>
      </c>
      <c r="J161" s="23">
        <f t="shared" si="27"/>
        <v>0</v>
      </c>
      <c r="K161" s="240">
        <f t="shared" si="27"/>
        <v>0</v>
      </c>
    </row>
    <row r="162" spans="1:11" ht="13.15" customHeight="1" x14ac:dyDescent="0.25">
      <c r="A162" s="20" t="s">
        <v>983</v>
      </c>
      <c r="B162" s="237"/>
      <c r="C162" s="372"/>
      <c r="D162" s="372"/>
      <c r="E162" s="373"/>
      <c r="F162" s="374"/>
      <c r="G162" s="372"/>
      <c r="H162" s="375"/>
      <c r="I162" s="374"/>
      <c r="J162" s="372"/>
      <c r="K162" s="373"/>
    </row>
    <row r="163" spans="1:11" ht="5.0999999999999996" customHeight="1" x14ac:dyDescent="0.25">
      <c r="A163" s="21"/>
      <c r="B163" s="237"/>
      <c r="C163" s="23"/>
      <c r="D163" s="23"/>
      <c r="E163" s="240"/>
      <c r="F163" s="241"/>
      <c r="G163" s="23"/>
      <c r="H163" s="22"/>
      <c r="I163" s="241"/>
      <c r="J163" s="23"/>
      <c r="K163" s="240"/>
    </row>
    <row r="164" spans="1:11" ht="13.15" customHeight="1" x14ac:dyDescent="0.25">
      <c r="A164" s="19" t="s">
        <v>969</v>
      </c>
      <c r="B164" s="237"/>
      <c r="C164" s="23">
        <f t="shared" ref="C164:K164" si="28">SUM(C165:C165)</f>
        <v>0</v>
      </c>
      <c r="D164" s="23">
        <f t="shared" si="28"/>
        <v>0</v>
      </c>
      <c r="E164" s="240">
        <f t="shared" si="28"/>
        <v>0</v>
      </c>
      <c r="F164" s="241">
        <f t="shared" si="28"/>
        <v>0</v>
      </c>
      <c r="G164" s="23">
        <f t="shared" si="28"/>
        <v>0</v>
      </c>
      <c r="H164" s="22">
        <f t="shared" si="28"/>
        <v>0</v>
      </c>
      <c r="I164" s="241">
        <f t="shared" si="28"/>
        <v>0</v>
      </c>
      <c r="J164" s="23">
        <f t="shared" si="28"/>
        <v>0</v>
      </c>
      <c r="K164" s="240">
        <f t="shared" si="28"/>
        <v>0</v>
      </c>
    </row>
    <row r="165" spans="1:11" ht="13.15" customHeight="1" x14ac:dyDescent="0.25">
      <c r="A165" s="20" t="s">
        <v>969</v>
      </c>
      <c r="B165" s="237"/>
      <c r="C165" s="372"/>
      <c r="D165" s="372"/>
      <c r="E165" s="373"/>
      <c r="F165" s="374"/>
      <c r="G165" s="372"/>
      <c r="H165" s="375"/>
      <c r="I165" s="374"/>
      <c r="J165" s="372"/>
      <c r="K165" s="373"/>
    </row>
    <row r="166" spans="1:11" ht="5.0999999999999996" customHeight="1" x14ac:dyDescent="0.25">
      <c r="A166" s="21"/>
      <c r="B166" s="237"/>
      <c r="C166" s="23"/>
      <c r="D166" s="23"/>
      <c r="E166" s="240"/>
      <c r="F166" s="241"/>
      <c r="G166" s="23"/>
      <c r="H166" s="22"/>
      <c r="I166" s="241"/>
      <c r="J166" s="23"/>
      <c r="K166" s="240"/>
    </row>
    <row r="167" spans="1:11" ht="13.15" customHeight="1" x14ac:dyDescent="0.25">
      <c r="A167" s="28" t="s">
        <v>972</v>
      </c>
      <c r="B167" s="376">
        <v>1</v>
      </c>
      <c r="C167" s="29">
        <f>C6+C74+C103+C110+C118+C136+C139+C149+C152+C155+C158+C161+C164</f>
        <v>0</v>
      </c>
      <c r="D167" s="29">
        <f t="shared" ref="D167:K167" si="29">D6+D74+D103+D110+D118+D136+D139+D149+D152+D155+D158+D161+D164</f>
        <v>0</v>
      </c>
      <c r="E167" s="377">
        <f t="shared" si="29"/>
        <v>0</v>
      </c>
      <c r="F167" s="378">
        <f t="shared" si="29"/>
        <v>0</v>
      </c>
      <c r="G167" s="29">
        <f t="shared" si="29"/>
        <v>0</v>
      </c>
      <c r="H167" s="379">
        <f t="shared" si="29"/>
        <v>0</v>
      </c>
      <c r="I167" s="378">
        <f t="shared" si="29"/>
        <v>0</v>
      </c>
      <c r="J167" s="29">
        <f t="shared" si="29"/>
        <v>0</v>
      </c>
      <c r="K167" s="377">
        <f t="shared" si="29"/>
        <v>0</v>
      </c>
    </row>
    <row r="168" spans="1:11" ht="12.75" customHeight="1" x14ac:dyDescent="0.25">
      <c r="A168" s="31" t="str">
        <f>head27a</f>
        <v>References</v>
      </c>
      <c r="C168" s="35"/>
      <c r="D168" s="35"/>
      <c r="E168" s="35"/>
      <c r="F168" s="35"/>
      <c r="G168" s="35"/>
      <c r="H168" s="35"/>
      <c r="I168" s="35"/>
      <c r="J168" s="35"/>
      <c r="K168" s="35"/>
    </row>
    <row r="169" spans="1:11" ht="11.25" customHeight="1" x14ac:dyDescent="0.25">
      <c r="A169" s="41" t="s">
        <v>979</v>
      </c>
      <c r="C169" s="34"/>
      <c r="D169" s="34"/>
      <c r="E169" s="35"/>
      <c r="F169" s="35"/>
      <c r="G169" s="35"/>
      <c r="H169" s="35"/>
      <c r="I169" s="35"/>
      <c r="J169" s="35"/>
      <c r="K169" s="35"/>
    </row>
    <row r="170" spans="1:11" ht="11.25" customHeight="1" x14ac:dyDescent="0.25"/>
    <row r="171" spans="1:11" ht="11.25" customHeight="1" x14ac:dyDescent="0.25"/>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sheetData>
  <sheetProtection sheet="1" objects="1" scenarios="1"/>
  <printOptions horizontalCentered="1"/>
  <pageMargins left="0.37" right="0.14000000000000001" top="0.79" bottom="0.6" header="0.51181102362204722" footer="0.51"/>
  <pageSetup paperSize="9" scale="7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8">
    <tabColor rgb="FFFF0000"/>
    <pageSetUpPr fitToPage="1"/>
  </sheetPr>
  <dimension ref="A1:O100"/>
  <sheetViews>
    <sheetView showGridLines="0" zoomScaleNormal="100" zoomScaleSheetLayoutView="120" workbookViewId="0">
      <pane xSplit="2" ySplit="4" topLeftCell="C5" activePane="bottomRight" state="frozen"/>
      <selection activeCell="A23" sqref="A23"/>
      <selection pane="topRight" activeCell="A23" sqref="A23"/>
      <selection pane="bottomLeft" activeCell="A23" sqref="A23"/>
      <selection pane="bottomRight" activeCell="A23" sqref="A23"/>
    </sheetView>
  </sheetViews>
  <sheetFormatPr defaultColWidth="9.140625" defaultRowHeight="12.75" x14ac:dyDescent="0.25"/>
  <cols>
    <col min="1" max="1" width="35.7109375" style="17" customWidth="1"/>
    <col min="2" max="2" width="3.140625" style="32" customWidth="1"/>
    <col min="3" max="14" width="9.7109375" style="17" customWidth="1"/>
    <col min="15" max="15" width="9.85546875" style="17" customWidth="1"/>
    <col min="16" max="18" width="9.5703125" style="17" customWidth="1"/>
    <col min="19" max="20" width="9.85546875" style="17" customWidth="1"/>
    <col min="21" max="16384" width="9.140625" style="17"/>
  </cols>
  <sheetData>
    <row r="1" spans="1:15" ht="13.5" x14ac:dyDescent="0.25">
      <c r="A1" s="88" t="str">
        <f>_MEB12</f>
        <v>Harry Gwala Development Agency (Pty) Ltd - Supporting Table SD8 Future financial implications of the capital expenditure budget</v>
      </c>
    </row>
    <row r="2" spans="1:15" ht="36" customHeight="1" x14ac:dyDescent="0.25">
      <c r="A2" s="249" t="str">
        <f>desc</f>
        <v>Description</v>
      </c>
      <c r="B2" s="250" t="str">
        <f>head27</f>
        <v>Ref</v>
      </c>
      <c r="C2" s="18" t="s">
        <v>104</v>
      </c>
      <c r="D2" s="388" t="str">
        <f>Head2</f>
        <v>Current Year 2018/19</v>
      </c>
      <c r="E2" s="519" t="str">
        <f>Head3</f>
        <v>2019/20 Medium Term Revenue &amp; Expenditure Framework</v>
      </c>
      <c r="F2" s="520"/>
      <c r="G2" s="521"/>
      <c r="H2" s="387" t="str">
        <f>Head12</f>
        <v>Forecast 2022/23</v>
      </c>
      <c r="I2" s="18" t="str">
        <f>Head13</f>
        <v>Forecast 2023/24</v>
      </c>
      <c r="J2" s="18" t="str">
        <f>Head14</f>
        <v>Forecast 2024/25</v>
      </c>
      <c r="K2" s="18" t="str">
        <f>Head15</f>
        <v>Forecast 2025/26</v>
      </c>
      <c r="L2" s="18" t="str">
        <f>Head16</f>
        <v>Forecast 2026/27</v>
      </c>
      <c r="M2" s="18" t="str">
        <f>Head17</f>
        <v>Forecast 2027/28</v>
      </c>
      <c r="N2" s="388" t="str">
        <f>Head18</f>
        <v>Forecast 2028/29</v>
      </c>
      <c r="O2" s="429" t="s">
        <v>68</v>
      </c>
    </row>
    <row r="3" spans="1:15" x14ac:dyDescent="0.25">
      <c r="A3" s="476"/>
      <c r="B3" s="477" t="s">
        <v>1016</v>
      </c>
      <c r="C3" s="556" t="str">
        <f>Head9</f>
        <v>Budget Year 2019/20</v>
      </c>
      <c r="D3" s="557" t="str">
        <f>Head10</f>
        <v>Budget Year +1 2020/21</v>
      </c>
      <c r="E3" s="559" t="str">
        <f>Head11</f>
        <v>Budget Year +2 2021/22</v>
      </c>
      <c r="F3" s="556" t="str">
        <f>Head12</f>
        <v>Forecast 2022/23</v>
      </c>
      <c r="G3" s="557" t="str">
        <f>Head13</f>
        <v>Forecast 2023/24</v>
      </c>
      <c r="H3" s="529" t="str">
        <f>Head14</f>
        <v>Forecast 2024/25</v>
      </c>
      <c r="I3" s="561" t="str">
        <f>Head48</f>
        <v>Present value</v>
      </c>
      <c r="J3" s="79" t="s">
        <v>108</v>
      </c>
      <c r="K3" s="79" t="s">
        <v>108</v>
      </c>
      <c r="L3" s="79" t="s">
        <v>108</v>
      </c>
      <c r="M3" s="79" t="s">
        <v>108</v>
      </c>
      <c r="N3" s="300" t="s">
        <v>108</v>
      </c>
      <c r="O3" s="472" t="s">
        <v>108</v>
      </c>
    </row>
    <row r="4" spans="1:15" ht="13.5" customHeight="1" x14ac:dyDescent="0.25">
      <c r="A4" s="121" t="s">
        <v>186</v>
      </c>
      <c r="B4" s="478"/>
      <c r="C4" s="530"/>
      <c r="D4" s="558"/>
      <c r="E4" s="560"/>
      <c r="F4" s="530"/>
      <c r="G4" s="558"/>
      <c r="H4" s="530"/>
      <c r="I4" s="562"/>
      <c r="J4" s="473"/>
      <c r="K4" s="473"/>
      <c r="L4" s="473"/>
      <c r="M4" s="473"/>
      <c r="N4" s="474"/>
      <c r="O4" s="475"/>
    </row>
    <row r="5" spans="1:15" x14ac:dyDescent="0.25">
      <c r="A5" s="45" t="s">
        <v>1009</v>
      </c>
      <c r="B5" s="237"/>
      <c r="C5" s="409"/>
      <c r="D5" s="410"/>
      <c r="E5" s="411"/>
      <c r="F5" s="409"/>
      <c r="G5" s="412"/>
      <c r="H5" s="410"/>
      <c r="I5" s="409"/>
      <c r="J5" s="409"/>
      <c r="K5" s="409"/>
      <c r="L5" s="409"/>
      <c r="M5" s="409"/>
      <c r="N5" s="412"/>
      <c r="O5" s="430"/>
    </row>
    <row r="6" spans="1:15" ht="11.25" customHeight="1" x14ac:dyDescent="0.25">
      <c r="A6" s="19" t="s">
        <v>1017</v>
      </c>
      <c r="B6" s="237">
        <v>2</v>
      </c>
      <c r="C6" s="409"/>
      <c r="D6" s="410"/>
      <c r="E6" s="411"/>
      <c r="F6" s="409"/>
      <c r="G6" s="412"/>
      <c r="H6" s="410"/>
      <c r="I6" s="409"/>
      <c r="J6" s="409"/>
      <c r="K6" s="409"/>
      <c r="L6" s="409"/>
      <c r="M6" s="409"/>
      <c r="N6" s="412"/>
      <c r="O6" s="430"/>
    </row>
    <row r="7" spans="1:15" ht="11.25" customHeight="1" x14ac:dyDescent="0.25">
      <c r="A7" s="431" t="s">
        <v>109</v>
      </c>
      <c r="B7" s="237"/>
      <c r="C7" s="432"/>
      <c r="D7" s="433"/>
      <c r="E7" s="434"/>
      <c r="F7" s="432"/>
      <c r="G7" s="435"/>
      <c r="H7" s="433"/>
      <c r="I7" s="432"/>
      <c r="J7" s="432"/>
      <c r="K7" s="432"/>
      <c r="L7" s="432"/>
      <c r="M7" s="432"/>
      <c r="N7" s="435"/>
      <c r="O7" s="78">
        <f>SUM(C7:N7)</f>
        <v>0</v>
      </c>
    </row>
    <row r="8" spans="1:15" ht="11.25" customHeight="1" x14ac:dyDescent="0.25">
      <c r="A8" s="431" t="s">
        <v>110</v>
      </c>
      <c r="B8" s="237"/>
      <c r="C8" s="368"/>
      <c r="D8" s="371"/>
      <c r="E8" s="370"/>
      <c r="F8" s="368"/>
      <c r="G8" s="369"/>
      <c r="H8" s="371"/>
      <c r="I8" s="368"/>
      <c r="J8" s="368"/>
      <c r="K8" s="368"/>
      <c r="L8" s="368"/>
      <c r="M8" s="368"/>
      <c r="N8" s="369"/>
      <c r="O8" s="78">
        <f>SUM(C8:N8)</f>
        <v>0</v>
      </c>
    </row>
    <row r="9" spans="1:15" ht="11.25" customHeight="1" x14ac:dyDescent="0.25">
      <c r="A9" s="431" t="s">
        <v>111</v>
      </c>
      <c r="B9" s="237"/>
      <c r="C9" s="354"/>
      <c r="D9" s="357"/>
      <c r="E9" s="356"/>
      <c r="F9" s="354"/>
      <c r="G9" s="355"/>
      <c r="H9" s="357"/>
      <c r="I9" s="354"/>
      <c r="J9" s="354"/>
      <c r="K9" s="354"/>
      <c r="L9" s="354"/>
      <c r="M9" s="354"/>
      <c r="N9" s="355"/>
      <c r="O9" s="78">
        <f>SUM(C9:N9)</f>
        <v>0</v>
      </c>
    </row>
    <row r="10" spans="1:15" ht="11.25" customHeight="1" x14ac:dyDescent="0.25">
      <c r="A10" s="45" t="s">
        <v>76</v>
      </c>
      <c r="B10" s="237"/>
      <c r="C10" s="154">
        <f t="shared" ref="C10:N10" si="0">SUM(C7:C9)</f>
        <v>0</v>
      </c>
      <c r="D10" s="436">
        <f t="shared" si="0"/>
        <v>0</v>
      </c>
      <c r="E10" s="437">
        <f t="shared" si="0"/>
        <v>0</v>
      </c>
      <c r="F10" s="154">
        <f t="shared" si="0"/>
        <v>0</v>
      </c>
      <c r="G10" s="438">
        <f t="shared" si="0"/>
        <v>0</v>
      </c>
      <c r="H10" s="436">
        <f t="shared" si="0"/>
        <v>0</v>
      </c>
      <c r="I10" s="154">
        <f t="shared" si="0"/>
        <v>0</v>
      </c>
      <c r="J10" s="154">
        <f t="shared" si="0"/>
        <v>0</v>
      </c>
      <c r="K10" s="154">
        <f t="shared" si="0"/>
        <v>0</v>
      </c>
      <c r="L10" s="154">
        <f t="shared" si="0"/>
        <v>0</v>
      </c>
      <c r="M10" s="154">
        <f t="shared" si="0"/>
        <v>0</v>
      </c>
      <c r="N10" s="438">
        <f t="shared" si="0"/>
        <v>0</v>
      </c>
      <c r="O10" s="439">
        <f>SUM(C10:N10)</f>
        <v>0</v>
      </c>
    </row>
    <row r="11" spans="1:15" ht="5.0999999999999996" customHeight="1" x14ac:dyDescent="0.25">
      <c r="A11" s="21"/>
      <c r="B11" s="237"/>
      <c r="C11" s="23"/>
      <c r="D11" s="22"/>
      <c r="E11" s="241"/>
      <c r="F11" s="23"/>
      <c r="G11" s="240"/>
      <c r="H11" s="22"/>
      <c r="I11" s="23"/>
      <c r="J11" s="23"/>
      <c r="K11" s="23"/>
      <c r="L11" s="23"/>
      <c r="M11" s="23"/>
      <c r="N11" s="240"/>
      <c r="O11" s="78"/>
    </row>
    <row r="12" spans="1:15" ht="11.25" customHeight="1" x14ac:dyDescent="0.25">
      <c r="A12" s="19" t="s">
        <v>1018</v>
      </c>
      <c r="B12" s="237">
        <v>2</v>
      </c>
      <c r="C12" s="23"/>
      <c r="D12" s="22"/>
      <c r="E12" s="241"/>
      <c r="F12" s="23"/>
      <c r="G12" s="240"/>
      <c r="H12" s="22"/>
      <c r="I12" s="23"/>
      <c r="J12" s="23"/>
      <c r="K12" s="23"/>
      <c r="L12" s="23"/>
      <c r="M12" s="23"/>
      <c r="N12" s="240"/>
      <c r="O12" s="78"/>
    </row>
    <row r="13" spans="1:15" ht="11.25" customHeight="1" x14ac:dyDescent="0.25">
      <c r="A13" s="431" t="s">
        <v>109</v>
      </c>
      <c r="B13" s="237"/>
      <c r="C13" s="354"/>
      <c r="D13" s="357"/>
      <c r="E13" s="356"/>
      <c r="F13" s="354"/>
      <c r="G13" s="355"/>
      <c r="H13" s="357"/>
      <c r="I13" s="354"/>
      <c r="J13" s="354"/>
      <c r="K13" s="354"/>
      <c r="L13" s="354"/>
      <c r="M13" s="354"/>
      <c r="N13" s="355"/>
      <c r="O13" s="78">
        <f>SUM(C13:N13)</f>
        <v>0</v>
      </c>
    </row>
    <row r="14" spans="1:15" ht="11.25" customHeight="1" x14ac:dyDescent="0.25">
      <c r="A14" s="431" t="s">
        <v>110</v>
      </c>
      <c r="B14" s="237"/>
      <c r="C14" s="354"/>
      <c r="D14" s="357"/>
      <c r="E14" s="356"/>
      <c r="F14" s="354"/>
      <c r="G14" s="355"/>
      <c r="H14" s="357"/>
      <c r="I14" s="354"/>
      <c r="J14" s="354"/>
      <c r="K14" s="354"/>
      <c r="L14" s="354"/>
      <c r="M14" s="354"/>
      <c r="N14" s="355"/>
      <c r="O14" s="78">
        <f>SUM(C14:N14)</f>
        <v>0</v>
      </c>
    </row>
    <row r="15" spans="1:15" ht="11.25" customHeight="1" x14ac:dyDescent="0.25">
      <c r="A15" s="431" t="s">
        <v>111</v>
      </c>
      <c r="B15" s="237"/>
      <c r="C15" s="354"/>
      <c r="D15" s="357"/>
      <c r="E15" s="356"/>
      <c r="F15" s="354"/>
      <c r="G15" s="355"/>
      <c r="H15" s="357"/>
      <c r="I15" s="354"/>
      <c r="J15" s="354"/>
      <c r="K15" s="354"/>
      <c r="L15" s="354"/>
      <c r="M15" s="354"/>
      <c r="N15" s="355"/>
      <c r="O15" s="78">
        <f>SUM(C15:N15)</f>
        <v>0</v>
      </c>
    </row>
    <row r="16" spans="1:15" ht="11.25" customHeight="1" x14ac:dyDescent="0.25">
      <c r="A16" s="45" t="s">
        <v>105</v>
      </c>
      <c r="B16" s="237"/>
      <c r="C16" s="48">
        <f t="shared" ref="C16:N16" si="1">SUM(C13:C15)</f>
        <v>0</v>
      </c>
      <c r="D16" s="440">
        <f t="shared" si="1"/>
        <v>0</v>
      </c>
      <c r="E16" s="441">
        <f t="shared" si="1"/>
        <v>0</v>
      </c>
      <c r="F16" s="48">
        <f t="shared" si="1"/>
        <v>0</v>
      </c>
      <c r="G16" s="442">
        <f t="shared" si="1"/>
        <v>0</v>
      </c>
      <c r="H16" s="440">
        <f t="shared" si="1"/>
        <v>0</v>
      </c>
      <c r="I16" s="48">
        <f t="shared" si="1"/>
        <v>0</v>
      </c>
      <c r="J16" s="48">
        <f t="shared" si="1"/>
        <v>0</v>
      </c>
      <c r="K16" s="48">
        <f t="shared" si="1"/>
        <v>0</v>
      </c>
      <c r="L16" s="48">
        <f t="shared" si="1"/>
        <v>0</v>
      </c>
      <c r="M16" s="48">
        <f t="shared" si="1"/>
        <v>0</v>
      </c>
      <c r="N16" s="442">
        <f t="shared" si="1"/>
        <v>0</v>
      </c>
      <c r="O16" s="439">
        <f>SUM(C16:N16)</f>
        <v>0</v>
      </c>
    </row>
    <row r="17" spans="1:15" ht="5.0999999999999996" customHeight="1" x14ac:dyDescent="0.25">
      <c r="A17" s="21"/>
      <c r="B17" s="237"/>
      <c r="C17" s="23"/>
      <c r="D17" s="22"/>
      <c r="E17" s="241"/>
      <c r="F17" s="23"/>
      <c r="G17" s="240"/>
      <c r="H17" s="22"/>
      <c r="I17" s="23"/>
      <c r="J17" s="23"/>
      <c r="K17" s="23"/>
      <c r="L17" s="23"/>
      <c r="M17" s="23"/>
      <c r="N17" s="240"/>
      <c r="O17" s="78"/>
    </row>
    <row r="18" spans="1:15" ht="11.25" customHeight="1" x14ac:dyDescent="0.25">
      <c r="A18" s="19" t="s">
        <v>1019</v>
      </c>
      <c r="B18" s="237">
        <v>2</v>
      </c>
      <c r="C18" s="26"/>
      <c r="D18" s="25"/>
      <c r="E18" s="232"/>
      <c r="F18" s="26"/>
      <c r="G18" s="233"/>
      <c r="H18" s="25"/>
      <c r="I18" s="26"/>
      <c r="J18" s="26"/>
      <c r="K18" s="26"/>
      <c r="L18" s="26"/>
      <c r="M18" s="26"/>
      <c r="N18" s="233"/>
      <c r="O18" s="78"/>
    </row>
    <row r="19" spans="1:15" ht="11.25" customHeight="1" x14ac:dyDescent="0.25">
      <c r="A19" s="431" t="s">
        <v>109</v>
      </c>
      <c r="B19" s="237"/>
      <c r="C19" s="354"/>
      <c r="D19" s="357"/>
      <c r="E19" s="356"/>
      <c r="F19" s="354"/>
      <c r="G19" s="355"/>
      <c r="H19" s="357"/>
      <c r="I19" s="354"/>
      <c r="J19" s="354"/>
      <c r="K19" s="354"/>
      <c r="L19" s="354"/>
      <c r="M19" s="354"/>
      <c r="N19" s="355"/>
      <c r="O19" s="78">
        <f>SUM(C19:N19)</f>
        <v>0</v>
      </c>
    </row>
    <row r="20" spans="1:15" ht="11.25" customHeight="1" x14ac:dyDescent="0.25">
      <c r="A20" s="431" t="s">
        <v>110</v>
      </c>
      <c r="B20" s="237"/>
      <c r="C20" s="354"/>
      <c r="D20" s="357"/>
      <c r="E20" s="356"/>
      <c r="F20" s="354"/>
      <c r="G20" s="355"/>
      <c r="H20" s="357"/>
      <c r="I20" s="354"/>
      <c r="J20" s="354"/>
      <c r="K20" s="354"/>
      <c r="L20" s="354"/>
      <c r="M20" s="354"/>
      <c r="N20" s="355"/>
      <c r="O20" s="78">
        <f>SUM(C20:N20)</f>
        <v>0</v>
      </c>
    </row>
    <row r="21" spans="1:15" ht="11.25" customHeight="1" x14ac:dyDescent="0.25">
      <c r="A21" s="431" t="s">
        <v>111</v>
      </c>
      <c r="B21" s="237"/>
      <c r="C21" s="354"/>
      <c r="D21" s="357"/>
      <c r="E21" s="356"/>
      <c r="F21" s="354"/>
      <c r="G21" s="355"/>
      <c r="H21" s="357"/>
      <c r="I21" s="354"/>
      <c r="J21" s="354"/>
      <c r="K21" s="354"/>
      <c r="L21" s="354"/>
      <c r="M21" s="354"/>
      <c r="N21" s="355"/>
      <c r="O21" s="78">
        <f>SUM(C21:N21)</f>
        <v>0</v>
      </c>
    </row>
    <row r="22" spans="1:15" ht="11.25" customHeight="1" x14ac:dyDescent="0.25">
      <c r="A22" s="45" t="s">
        <v>77</v>
      </c>
      <c r="B22" s="237"/>
      <c r="C22" s="48">
        <f t="shared" ref="C22:N22" si="2">SUM(C19:C21)</f>
        <v>0</v>
      </c>
      <c r="D22" s="440">
        <f t="shared" si="2"/>
        <v>0</v>
      </c>
      <c r="E22" s="441">
        <f t="shared" si="2"/>
        <v>0</v>
      </c>
      <c r="F22" s="48">
        <f t="shared" si="2"/>
        <v>0</v>
      </c>
      <c r="G22" s="442">
        <f t="shared" si="2"/>
        <v>0</v>
      </c>
      <c r="H22" s="440">
        <f t="shared" si="2"/>
        <v>0</v>
      </c>
      <c r="I22" s="48">
        <f t="shared" si="2"/>
        <v>0</v>
      </c>
      <c r="J22" s="48">
        <f t="shared" si="2"/>
        <v>0</v>
      </c>
      <c r="K22" s="48">
        <f t="shared" si="2"/>
        <v>0</v>
      </c>
      <c r="L22" s="48">
        <f t="shared" si="2"/>
        <v>0</v>
      </c>
      <c r="M22" s="48">
        <f t="shared" si="2"/>
        <v>0</v>
      </c>
      <c r="N22" s="442">
        <f t="shared" si="2"/>
        <v>0</v>
      </c>
      <c r="O22" s="439">
        <f>SUM(C22:N22)</f>
        <v>0</v>
      </c>
    </row>
    <row r="23" spans="1:15" ht="5.0999999999999996" customHeight="1" x14ac:dyDescent="0.25">
      <c r="A23" s="21"/>
      <c r="B23" s="237"/>
      <c r="C23" s="23"/>
      <c r="D23" s="22"/>
      <c r="E23" s="241"/>
      <c r="F23" s="23"/>
      <c r="G23" s="240"/>
      <c r="H23" s="22"/>
      <c r="I23" s="23"/>
      <c r="J23" s="23"/>
      <c r="K23" s="23"/>
      <c r="L23" s="23"/>
      <c r="M23" s="23"/>
      <c r="N23" s="240"/>
      <c r="O23" s="78"/>
    </row>
    <row r="24" spans="1:15" ht="11.25" customHeight="1" x14ac:dyDescent="0.25">
      <c r="A24" s="28" t="s">
        <v>1020</v>
      </c>
      <c r="B24" s="376"/>
      <c r="C24" s="29">
        <f>C16+C22</f>
        <v>0</v>
      </c>
      <c r="D24" s="379">
        <f t="shared" ref="D24:O24" si="3">D16+D22</f>
        <v>0</v>
      </c>
      <c r="E24" s="378">
        <f t="shared" si="3"/>
        <v>0</v>
      </c>
      <c r="F24" s="29">
        <f t="shared" si="3"/>
        <v>0</v>
      </c>
      <c r="G24" s="377">
        <f t="shared" si="3"/>
        <v>0</v>
      </c>
      <c r="H24" s="379">
        <f t="shared" si="3"/>
        <v>0</v>
      </c>
      <c r="I24" s="29">
        <f t="shared" si="3"/>
        <v>0</v>
      </c>
      <c r="J24" s="29">
        <f t="shared" si="3"/>
        <v>0</v>
      </c>
      <c r="K24" s="29">
        <f t="shared" si="3"/>
        <v>0</v>
      </c>
      <c r="L24" s="29">
        <f t="shared" si="3"/>
        <v>0</v>
      </c>
      <c r="M24" s="29">
        <f t="shared" si="3"/>
        <v>0</v>
      </c>
      <c r="N24" s="377">
        <f t="shared" si="3"/>
        <v>0</v>
      </c>
      <c r="O24" s="159">
        <f t="shared" si="3"/>
        <v>0</v>
      </c>
    </row>
    <row r="25" spans="1:15" ht="12.75" customHeight="1" x14ac:dyDescent="0.25">
      <c r="A25" s="33" t="s">
        <v>1021</v>
      </c>
      <c r="B25" s="295"/>
      <c r="C25" s="443"/>
      <c r="D25" s="444"/>
      <c r="E25" s="444"/>
      <c r="F25" s="444"/>
      <c r="G25" s="444"/>
      <c r="H25" s="297"/>
      <c r="I25" s="297"/>
      <c r="J25" s="297"/>
      <c r="K25" s="297"/>
      <c r="L25" s="297"/>
      <c r="M25" s="297"/>
      <c r="N25" s="297"/>
    </row>
    <row r="26" spans="1:15" ht="12.75" customHeight="1" x14ac:dyDescent="0.25">
      <c r="A26" s="41" t="s">
        <v>78</v>
      </c>
      <c r="B26" s="295"/>
      <c r="C26" s="443"/>
      <c r="D26" s="444"/>
      <c r="E26" s="444"/>
      <c r="F26" s="444"/>
      <c r="G26" s="444"/>
      <c r="H26" s="297"/>
      <c r="I26" s="297"/>
      <c r="J26" s="297"/>
      <c r="K26" s="297"/>
      <c r="L26" s="297"/>
      <c r="M26" s="297"/>
      <c r="N26" s="297"/>
    </row>
    <row r="27" spans="1:15" ht="24" customHeight="1" x14ac:dyDescent="0.25">
      <c r="A27" s="554" t="s">
        <v>1022</v>
      </c>
      <c r="B27" s="555"/>
      <c r="C27" s="555"/>
      <c r="D27" s="555"/>
      <c r="E27" s="555"/>
      <c r="F27" s="555"/>
      <c r="G27" s="555"/>
      <c r="H27" s="555"/>
      <c r="I27" s="555"/>
      <c r="J27" s="555"/>
      <c r="K27" s="555"/>
      <c r="L27" s="555"/>
      <c r="M27" s="555"/>
      <c r="N27" s="555"/>
    </row>
    <row r="28" spans="1:15" ht="11.25" customHeight="1" x14ac:dyDescent="0.25">
      <c r="B28" s="17"/>
    </row>
    <row r="29" spans="1:15" x14ac:dyDescent="0.25">
      <c r="A29" s="37"/>
      <c r="B29" s="17"/>
      <c r="C29" s="81"/>
      <c r="D29" s="81"/>
      <c r="E29" s="81"/>
    </row>
    <row r="30" spans="1:15" ht="11.25" customHeight="1" x14ac:dyDescent="0.25">
      <c r="B30" s="17"/>
    </row>
    <row r="31" spans="1:15" ht="11.25" customHeight="1" x14ac:dyDescent="0.25">
      <c r="B31" s="17"/>
    </row>
    <row r="32" spans="1:15" ht="11.25" customHeight="1" x14ac:dyDescent="0.25">
      <c r="B32" s="17"/>
    </row>
    <row r="33" spans="2:2" ht="11.25" customHeight="1" x14ac:dyDescent="0.25">
      <c r="B33" s="17"/>
    </row>
    <row r="34" spans="2:2" ht="11.25" customHeight="1" x14ac:dyDescent="0.25">
      <c r="B34" s="17"/>
    </row>
    <row r="35" spans="2:2" ht="11.25" customHeight="1" x14ac:dyDescent="0.25">
      <c r="B35" s="17"/>
    </row>
    <row r="36" spans="2:2" ht="11.25" customHeight="1" x14ac:dyDescent="0.25">
      <c r="B36" s="17"/>
    </row>
    <row r="37" spans="2:2" ht="11.25" customHeight="1" x14ac:dyDescent="0.25">
      <c r="B37" s="17"/>
    </row>
    <row r="38" spans="2:2" ht="11.25" customHeight="1" x14ac:dyDescent="0.25">
      <c r="B38" s="17"/>
    </row>
    <row r="39" spans="2:2" ht="11.25" customHeight="1" x14ac:dyDescent="0.25">
      <c r="B39" s="17"/>
    </row>
    <row r="40" spans="2:2" ht="11.25" customHeight="1" x14ac:dyDescent="0.25">
      <c r="B40" s="17"/>
    </row>
    <row r="41" spans="2:2" ht="11.25" customHeight="1" x14ac:dyDescent="0.25">
      <c r="B41" s="17"/>
    </row>
    <row r="42" spans="2:2" ht="11.25" customHeight="1" x14ac:dyDescent="0.25">
      <c r="B42" s="17"/>
    </row>
    <row r="43" spans="2:2" ht="11.25" customHeight="1" x14ac:dyDescent="0.25">
      <c r="B43" s="17"/>
    </row>
    <row r="44" spans="2:2" ht="11.25" customHeight="1" x14ac:dyDescent="0.25">
      <c r="B44" s="17"/>
    </row>
    <row r="45" spans="2:2" ht="11.25" customHeight="1" x14ac:dyDescent="0.25">
      <c r="B45" s="17"/>
    </row>
    <row r="46" spans="2:2" ht="11.25" customHeight="1" x14ac:dyDescent="0.25">
      <c r="B46" s="17"/>
    </row>
    <row r="47" spans="2:2" x14ac:dyDescent="0.25">
      <c r="B47" s="17"/>
    </row>
    <row r="48" spans="2:2" ht="11.25" customHeight="1" x14ac:dyDescent="0.25">
      <c r="B48" s="17"/>
    </row>
    <row r="49" spans="2:2" ht="11.25" customHeight="1" x14ac:dyDescent="0.25">
      <c r="B49" s="17"/>
    </row>
    <row r="50" spans="2:2" ht="11.25" customHeight="1" x14ac:dyDescent="0.25">
      <c r="B50" s="17"/>
    </row>
    <row r="51" spans="2:2" ht="11.25" customHeight="1" x14ac:dyDescent="0.25">
      <c r="B51" s="17"/>
    </row>
    <row r="52" spans="2:2" ht="11.25" customHeight="1" x14ac:dyDescent="0.25">
      <c r="B52" s="17"/>
    </row>
    <row r="53" spans="2:2" ht="11.25" customHeight="1" x14ac:dyDescent="0.25">
      <c r="B53" s="17"/>
    </row>
    <row r="54" spans="2:2" ht="6" customHeight="1" x14ac:dyDescent="0.25">
      <c r="B54" s="17"/>
    </row>
    <row r="55" spans="2:2" ht="11.25" customHeight="1" x14ac:dyDescent="0.25">
      <c r="B55" s="17"/>
    </row>
    <row r="56" spans="2:2" ht="11.25" customHeight="1" x14ac:dyDescent="0.25">
      <c r="B56" s="17"/>
    </row>
    <row r="57" spans="2:2" ht="11.25" customHeight="1" x14ac:dyDescent="0.25">
      <c r="B57" s="17"/>
    </row>
    <row r="58" spans="2:2" ht="11.25" customHeight="1" x14ac:dyDescent="0.25">
      <c r="B58" s="17"/>
    </row>
    <row r="59" spans="2:2" ht="11.25" customHeight="1" x14ac:dyDescent="0.25">
      <c r="B59" s="17"/>
    </row>
    <row r="60" spans="2:2" ht="11.25" customHeight="1" x14ac:dyDescent="0.25">
      <c r="B60" s="17"/>
    </row>
    <row r="61" spans="2:2" ht="11.25" customHeight="1" x14ac:dyDescent="0.25">
      <c r="B61" s="17"/>
    </row>
    <row r="62" spans="2:2" ht="11.25" customHeight="1" x14ac:dyDescent="0.25">
      <c r="B62" s="17"/>
    </row>
    <row r="63" spans="2:2" ht="11.25" customHeight="1" x14ac:dyDescent="0.25">
      <c r="B63" s="17"/>
    </row>
    <row r="64" spans="2:2" ht="11.25" customHeight="1" x14ac:dyDescent="0.25">
      <c r="B64" s="17"/>
    </row>
    <row r="65" spans="2:9" ht="11.25" customHeight="1" x14ac:dyDescent="0.25">
      <c r="B65" s="17"/>
      <c r="I65" s="46"/>
    </row>
    <row r="66" spans="2:9" ht="11.25" customHeight="1" x14ac:dyDescent="0.25">
      <c r="B66" s="17"/>
    </row>
    <row r="67" spans="2:9" ht="11.25" customHeight="1" x14ac:dyDescent="0.25">
      <c r="B67" s="17"/>
    </row>
    <row r="68" spans="2:9" ht="11.25" customHeight="1" x14ac:dyDescent="0.25">
      <c r="B68" s="17"/>
    </row>
    <row r="69" spans="2:9" x14ac:dyDescent="0.25">
      <c r="B69" s="17"/>
    </row>
    <row r="70" spans="2:9" x14ac:dyDescent="0.25">
      <c r="B70" s="17"/>
    </row>
    <row r="71" spans="2:9" ht="11.25" customHeight="1" x14ac:dyDescent="0.25">
      <c r="B71" s="17"/>
    </row>
    <row r="72" spans="2:9" x14ac:dyDescent="0.25">
      <c r="B72" s="17"/>
    </row>
    <row r="73" spans="2:9" x14ac:dyDescent="0.25">
      <c r="B73" s="17"/>
    </row>
    <row r="74" spans="2:9" x14ac:dyDescent="0.25">
      <c r="B74" s="17"/>
    </row>
    <row r="75" spans="2:9" x14ac:dyDescent="0.25">
      <c r="B75" s="17"/>
    </row>
    <row r="76" spans="2:9" ht="11.25" customHeight="1" x14ac:dyDescent="0.25">
      <c r="B76" s="17"/>
    </row>
    <row r="77" spans="2:9" ht="11.25" customHeight="1" x14ac:dyDescent="0.25">
      <c r="B77" s="17"/>
    </row>
    <row r="78" spans="2:9" ht="11.25" customHeight="1" x14ac:dyDescent="0.25">
      <c r="B78" s="17"/>
    </row>
    <row r="79" spans="2:9" ht="11.25" customHeight="1" x14ac:dyDescent="0.25">
      <c r="B79" s="17"/>
    </row>
    <row r="80" spans="2:9" ht="11.25" customHeight="1" x14ac:dyDescent="0.25">
      <c r="B80" s="17"/>
    </row>
    <row r="81" spans="2:2" ht="11.25" customHeight="1" x14ac:dyDescent="0.25">
      <c r="B81" s="17"/>
    </row>
    <row r="82" spans="2:2" ht="11.25" customHeight="1" x14ac:dyDescent="0.25">
      <c r="B82" s="17"/>
    </row>
    <row r="83" spans="2:2" ht="11.25" customHeight="1" x14ac:dyDescent="0.25">
      <c r="B83" s="17"/>
    </row>
    <row r="84" spans="2:2" ht="11.25" customHeight="1" x14ac:dyDescent="0.25">
      <c r="B84" s="17"/>
    </row>
    <row r="85" spans="2:2" ht="11.25" customHeight="1" x14ac:dyDescent="0.25">
      <c r="B85" s="17"/>
    </row>
    <row r="86" spans="2:2" ht="11.25" customHeight="1" x14ac:dyDescent="0.25">
      <c r="B86" s="17"/>
    </row>
    <row r="87" spans="2:2" ht="11.25" customHeight="1" x14ac:dyDescent="0.25">
      <c r="B87" s="17"/>
    </row>
    <row r="88" spans="2:2" ht="11.25" customHeight="1" x14ac:dyDescent="0.25">
      <c r="B88" s="17"/>
    </row>
    <row r="89" spans="2:2" ht="11.25" customHeight="1" x14ac:dyDescent="0.25">
      <c r="B89" s="17"/>
    </row>
    <row r="90" spans="2:2" ht="11.25" customHeight="1" x14ac:dyDescent="0.25">
      <c r="B90" s="17"/>
    </row>
    <row r="91" spans="2:2" ht="11.25" customHeight="1" x14ac:dyDescent="0.25">
      <c r="B91" s="17"/>
    </row>
    <row r="92" spans="2:2" ht="11.25" customHeight="1" x14ac:dyDescent="0.25">
      <c r="B92" s="17"/>
    </row>
    <row r="93" spans="2:2" ht="11.25" customHeight="1" x14ac:dyDescent="0.25"/>
    <row r="94" spans="2:2" ht="11.25" customHeight="1" x14ac:dyDescent="0.25"/>
    <row r="95" spans="2:2" ht="11.25" customHeight="1" x14ac:dyDescent="0.25"/>
    <row r="96" spans="2:2" ht="11.25" customHeight="1" x14ac:dyDescent="0.25"/>
    <row r="97" ht="11.25" customHeight="1" x14ac:dyDescent="0.25"/>
    <row r="98" ht="11.25" customHeight="1" x14ac:dyDescent="0.25"/>
    <row r="99" ht="11.25" customHeight="1" x14ac:dyDescent="0.25"/>
    <row r="100" ht="11.25" customHeight="1" x14ac:dyDescent="0.25"/>
  </sheetData>
  <sheetProtection sheet="1" objects="1" scenarios="1"/>
  <mergeCells count="9">
    <mergeCell ref="E2:G2"/>
    <mergeCell ref="A27:N27"/>
    <mergeCell ref="C3:C4"/>
    <mergeCell ref="D3:D4"/>
    <mergeCell ref="E3:E4"/>
    <mergeCell ref="I3:I4"/>
    <mergeCell ref="F3:F4"/>
    <mergeCell ref="G3:G4"/>
    <mergeCell ref="H3:H4"/>
  </mergeCells>
  <phoneticPr fontId="2" type="noConversion"/>
  <printOptions horizontalCentered="1"/>
  <pageMargins left="0.35433070866141736" right="0.23622047244094491" top="0.77" bottom="0.59" header="0.51181102362204722" footer="0.4"/>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9">
    <tabColor rgb="FFFF0000"/>
    <pageSetUpPr fitToPage="1"/>
  </sheetPr>
  <dimension ref="A1:Q129"/>
  <sheetViews>
    <sheetView showGridLines="0" zoomScaleNormal="100" zoomScaleSheetLayoutView="130" workbookViewId="0">
      <pane xSplit="2" ySplit="1" topLeftCell="C2" activePane="bottomRight" state="frozen"/>
      <selection activeCell="A23" sqref="A23"/>
      <selection pane="topRight" activeCell="A23" sqref="A23"/>
      <selection pane="bottomLeft" activeCell="A23" sqref="A23"/>
      <selection pane="bottomRight" activeCell="A23" sqref="A23"/>
    </sheetView>
  </sheetViews>
  <sheetFormatPr defaultColWidth="9.140625" defaultRowHeight="12.75" x14ac:dyDescent="0.25"/>
  <cols>
    <col min="1" max="1" width="25.7109375" style="17" customWidth="1"/>
    <col min="2" max="2" width="29.5703125" style="32" customWidth="1"/>
    <col min="3" max="3" width="20.28515625" style="17" customWidth="1"/>
    <col min="4" max="4" width="13.28515625" style="17" customWidth="1"/>
    <col min="5" max="5" width="25.85546875" style="17" customWidth="1"/>
    <col min="6" max="6" width="20.7109375" style="17" customWidth="1"/>
    <col min="7" max="7" width="23.140625" style="17" customWidth="1"/>
    <col min="8" max="8" width="21.42578125" style="17" customWidth="1"/>
    <col min="9" max="9" width="21.140625" style="17" customWidth="1"/>
    <col min="10" max="10" width="17.5703125" style="17" customWidth="1"/>
    <col min="11" max="11" width="17.7109375" style="17" customWidth="1"/>
    <col min="12" max="12" width="19.5703125" style="17" customWidth="1"/>
    <col min="13" max="13" width="8.7109375" style="17" customWidth="1"/>
    <col min="14" max="14" width="10.5703125" style="17" customWidth="1"/>
    <col min="15" max="15" width="12.140625" style="17" customWidth="1"/>
    <col min="16" max="16" width="12.85546875" style="17" customWidth="1"/>
    <col min="17" max="17" width="12.28515625" style="17" customWidth="1"/>
    <col min="18" max="18" width="9.85546875" style="17" customWidth="1"/>
    <col min="19" max="21" width="9.5703125" style="17" customWidth="1"/>
    <col min="22" max="22" width="9.85546875" style="17" customWidth="1"/>
    <col min="23" max="25" width="9.5703125" style="17" customWidth="1"/>
    <col min="26" max="27" width="9.85546875" style="17" customWidth="1"/>
    <col min="28" max="16384" width="9.140625" style="17"/>
  </cols>
  <sheetData>
    <row r="1" spans="1:17" ht="13.5" x14ac:dyDescent="0.25">
      <c r="A1" s="88" t="str">
        <f>_MEB13</f>
        <v>Harry Gwala Development Agency (Pty) Ltd - Supporting Table SD9 Detailed capital budget</v>
      </c>
    </row>
    <row r="2" spans="1:17" ht="22.15" customHeight="1" x14ac:dyDescent="0.25">
      <c r="A2" s="395" t="s">
        <v>826</v>
      </c>
      <c r="B2" s="389"/>
      <c r="C2" s="389"/>
      <c r="D2" s="389"/>
      <c r="E2" s="396"/>
      <c r="F2" s="396"/>
      <c r="G2" s="396"/>
      <c r="H2" s="396"/>
      <c r="I2" s="396"/>
      <c r="J2" s="396"/>
      <c r="K2" s="396"/>
      <c r="L2" s="397"/>
      <c r="M2" s="563"/>
      <c r="N2" s="543"/>
      <c r="O2" s="519" t="str">
        <f>Head3</f>
        <v>2019/20 Medium Term Revenue &amp; Expenditure Framework</v>
      </c>
      <c r="P2" s="520"/>
      <c r="Q2" s="521"/>
    </row>
    <row r="3" spans="1:17" s="402" customFormat="1" ht="50.25" customHeight="1" x14ac:dyDescent="0.2">
      <c r="A3" s="398" t="s">
        <v>997</v>
      </c>
      <c r="B3" s="252" t="s">
        <v>998</v>
      </c>
      <c r="C3" s="252" t="s">
        <v>999</v>
      </c>
      <c r="D3" s="252" t="s">
        <v>1000</v>
      </c>
      <c r="E3" s="252" t="s">
        <v>1001</v>
      </c>
      <c r="F3" s="252" t="s">
        <v>1002</v>
      </c>
      <c r="G3" s="252" t="s">
        <v>1003</v>
      </c>
      <c r="H3" s="252" t="s">
        <v>1004</v>
      </c>
      <c r="I3" s="252" t="s">
        <v>1005</v>
      </c>
      <c r="J3" s="252" t="s">
        <v>1006</v>
      </c>
      <c r="K3" s="252" t="s">
        <v>1007</v>
      </c>
      <c r="L3" s="399" t="s">
        <v>1008</v>
      </c>
      <c r="M3" s="400" t="str">
        <f>Head5&amp;"    "&amp;Head1</f>
        <v>Audited Outcome    2017/18</v>
      </c>
      <c r="N3" s="401" t="str">
        <f>Head2 &amp; "        "&amp;Head8</f>
        <v>Current Year 2018/19        Full Year Forecast</v>
      </c>
      <c r="O3" s="341" t="str">
        <f>Head9</f>
        <v>Budget Year 2019/20</v>
      </c>
      <c r="P3" s="252" t="str">
        <f>Head10</f>
        <v>Budget Year +1 2020/21</v>
      </c>
      <c r="Q3" s="254" t="str">
        <f>Head11</f>
        <v>Budget Year +2 2021/22</v>
      </c>
    </row>
    <row r="4" spans="1:17" x14ac:dyDescent="0.25">
      <c r="A4" s="428" t="s">
        <v>1009</v>
      </c>
      <c r="B4" s="403"/>
      <c r="C4" s="404"/>
      <c r="D4" s="404"/>
      <c r="E4" s="404"/>
      <c r="F4" s="404"/>
      <c r="G4" s="404"/>
      <c r="H4" s="405"/>
      <c r="I4" s="36"/>
      <c r="J4" s="405"/>
      <c r="K4" s="406"/>
      <c r="L4" s="407"/>
      <c r="M4" s="23"/>
      <c r="N4" s="22"/>
      <c r="O4" s="241"/>
      <c r="P4" s="23"/>
      <c r="Q4" s="240"/>
    </row>
    <row r="5" spans="1:17" ht="11.25" customHeight="1" x14ac:dyDescent="0.25">
      <c r="A5" s="408" t="s">
        <v>1010</v>
      </c>
      <c r="B5" s="403"/>
      <c r="C5" s="404"/>
      <c r="D5" s="404"/>
      <c r="E5" s="404"/>
      <c r="F5" s="404"/>
      <c r="G5" s="404"/>
      <c r="H5" s="405"/>
      <c r="I5" s="36"/>
      <c r="J5" s="405"/>
      <c r="K5" s="406"/>
      <c r="L5" s="407"/>
      <c r="M5" s="409"/>
      <c r="N5" s="410"/>
      <c r="O5" s="411"/>
      <c r="P5" s="409"/>
      <c r="Q5" s="412"/>
    </row>
    <row r="6" spans="1:17" ht="5.0999999999999996" customHeight="1" x14ac:dyDescent="0.25">
      <c r="A6" s="242"/>
      <c r="B6" s="403"/>
      <c r="C6" s="404"/>
      <c r="D6" s="404"/>
      <c r="E6" s="404"/>
      <c r="F6" s="404"/>
      <c r="G6" s="404"/>
      <c r="H6" s="405"/>
      <c r="I6" s="36"/>
      <c r="J6" s="405"/>
      <c r="K6" s="406"/>
      <c r="L6" s="407"/>
      <c r="M6" s="23"/>
      <c r="N6" s="22"/>
      <c r="O6" s="241"/>
      <c r="P6" s="23"/>
      <c r="Q6" s="240"/>
    </row>
    <row r="7" spans="1:17" ht="11.25" customHeight="1" x14ac:dyDescent="0.25">
      <c r="A7" s="413" t="s">
        <v>1011</v>
      </c>
      <c r="B7" s="414"/>
      <c r="C7" s="415"/>
      <c r="D7" s="415"/>
      <c r="E7" s="416"/>
      <c r="F7" s="416"/>
      <c r="G7" s="414"/>
      <c r="H7" s="416"/>
      <c r="I7" s="417"/>
      <c r="J7" s="414"/>
      <c r="K7" s="418"/>
      <c r="L7" s="419"/>
      <c r="M7" s="354"/>
      <c r="N7" s="357"/>
      <c r="O7" s="356"/>
      <c r="P7" s="354"/>
      <c r="Q7" s="355"/>
    </row>
    <row r="8" spans="1:17" ht="11.25" customHeight="1" x14ac:dyDescent="0.25">
      <c r="A8" s="420" t="s">
        <v>1012</v>
      </c>
      <c r="B8" s="418"/>
      <c r="C8" s="421"/>
      <c r="D8" s="415"/>
      <c r="E8" s="416"/>
      <c r="F8" s="416"/>
      <c r="G8" s="414"/>
      <c r="H8" s="416"/>
      <c r="I8" s="417"/>
      <c r="J8" s="414"/>
      <c r="K8" s="418"/>
      <c r="L8" s="419"/>
      <c r="M8" s="354"/>
      <c r="N8" s="357"/>
      <c r="O8" s="356"/>
      <c r="P8" s="354"/>
      <c r="Q8" s="355"/>
    </row>
    <row r="9" spans="1:17" ht="5.0999999999999996" customHeight="1" x14ac:dyDescent="0.25">
      <c r="A9" s="422"/>
      <c r="B9" s="418"/>
      <c r="C9" s="421"/>
      <c r="D9" s="415"/>
      <c r="E9" s="416"/>
      <c r="F9" s="416"/>
      <c r="G9" s="414"/>
      <c r="H9" s="416"/>
      <c r="I9" s="417"/>
      <c r="J9" s="414"/>
      <c r="K9" s="418"/>
      <c r="L9" s="419"/>
      <c r="M9" s="354"/>
      <c r="N9" s="357"/>
      <c r="O9" s="356"/>
      <c r="P9" s="354"/>
      <c r="Q9" s="355"/>
    </row>
    <row r="10" spans="1:17" ht="11.25" customHeight="1" x14ac:dyDescent="0.25">
      <c r="A10" s="413" t="s">
        <v>1013</v>
      </c>
      <c r="B10" s="418"/>
      <c r="C10" s="421"/>
      <c r="D10" s="415"/>
      <c r="E10" s="416"/>
      <c r="F10" s="416"/>
      <c r="G10" s="414"/>
      <c r="H10" s="416"/>
      <c r="I10" s="417"/>
      <c r="J10" s="414"/>
      <c r="K10" s="418"/>
      <c r="L10" s="419"/>
      <c r="M10" s="354"/>
      <c r="N10" s="357"/>
      <c r="O10" s="356"/>
      <c r="P10" s="354"/>
      <c r="Q10" s="355"/>
    </row>
    <row r="11" spans="1:17" ht="11.25" customHeight="1" x14ac:dyDescent="0.25">
      <c r="A11" s="420" t="s">
        <v>1014</v>
      </c>
      <c r="B11" s="418"/>
      <c r="C11" s="421"/>
      <c r="D11" s="415"/>
      <c r="E11" s="416"/>
      <c r="F11" s="416"/>
      <c r="G11" s="414"/>
      <c r="H11" s="416"/>
      <c r="I11" s="417"/>
      <c r="J11" s="414"/>
      <c r="K11" s="418"/>
      <c r="L11" s="419"/>
      <c r="M11" s="354"/>
      <c r="N11" s="357"/>
      <c r="O11" s="356"/>
      <c r="P11" s="354"/>
      <c r="Q11" s="355"/>
    </row>
    <row r="12" spans="1:17" ht="11.25" customHeight="1" x14ac:dyDescent="0.25">
      <c r="A12" s="420"/>
      <c r="B12" s="418"/>
      <c r="C12" s="421"/>
      <c r="D12" s="415"/>
      <c r="E12" s="416"/>
      <c r="F12" s="416"/>
      <c r="G12" s="414"/>
      <c r="H12" s="416"/>
      <c r="I12" s="417"/>
      <c r="J12" s="414"/>
      <c r="K12" s="418"/>
      <c r="L12" s="419"/>
      <c r="M12" s="354"/>
      <c r="N12" s="357"/>
      <c r="O12" s="356"/>
      <c r="P12" s="354"/>
      <c r="Q12" s="355"/>
    </row>
    <row r="13" spans="1:17" ht="11.25" customHeight="1" x14ac:dyDescent="0.25">
      <c r="A13" s="420"/>
      <c r="B13" s="418"/>
      <c r="C13" s="423"/>
      <c r="D13" s="415"/>
      <c r="E13" s="416"/>
      <c r="F13" s="416"/>
      <c r="G13" s="414"/>
      <c r="H13" s="416"/>
      <c r="I13" s="417"/>
      <c r="J13" s="414"/>
      <c r="K13" s="418"/>
      <c r="L13" s="419"/>
      <c r="M13" s="354"/>
      <c r="N13" s="357"/>
      <c r="O13" s="356"/>
      <c r="P13" s="354"/>
      <c r="Q13" s="355"/>
    </row>
    <row r="14" spans="1:17" ht="11.25" customHeight="1" x14ac:dyDescent="0.25">
      <c r="A14" s="420"/>
      <c r="B14" s="418"/>
      <c r="C14" s="421"/>
      <c r="D14" s="415"/>
      <c r="E14" s="416"/>
      <c r="F14" s="416"/>
      <c r="G14" s="414"/>
      <c r="H14" s="416"/>
      <c r="I14" s="417"/>
      <c r="J14" s="414"/>
      <c r="K14" s="418"/>
      <c r="L14" s="419"/>
      <c r="M14" s="354"/>
      <c r="N14" s="357"/>
      <c r="O14" s="356"/>
      <c r="P14" s="354"/>
      <c r="Q14" s="355"/>
    </row>
    <row r="15" spans="1:17" ht="11.25" customHeight="1" x14ac:dyDescent="0.25">
      <c r="A15" s="420"/>
      <c r="B15" s="418"/>
      <c r="C15" s="421"/>
      <c r="D15" s="415"/>
      <c r="E15" s="416"/>
      <c r="F15" s="416"/>
      <c r="G15" s="414"/>
      <c r="H15" s="416"/>
      <c r="I15" s="417"/>
      <c r="J15" s="414"/>
      <c r="K15" s="418"/>
      <c r="L15" s="419"/>
      <c r="M15" s="354"/>
      <c r="N15" s="357"/>
      <c r="O15" s="356"/>
      <c r="P15" s="354"/>
      <c r="Q15" s="355"/>
    </row>
    <row r="16" spans="1:17" ht="11.25" customHeight="1" x14ac:dyDescent="0.25">
      <c r="A16" s="420"/>
      <c r="B16" s="418"/>
      <c r="C16" s="423"/>
      <c r="D16" s="415"/>
      <c r="E16" s="416"/>
      <c r="F16" s="416"/>
      <c r="G16" s="414"/>
      <c r="H16" s="416"/>
      <c r="I16" s="417"/>
      <c r="J16" s="414"/>
      <c r="K16" s="418"/>
      <c r="L16" s="419"/>
      <c r="M16" s="354"/>
      <c r="N16" s="357"/>
      <c r="O16" s="356"/>
      <c r="P16" s="354"/>
      <c r="Q16" s="355"/>
    </row>
    <row r="17" spans="1:17" ht="11.25" customHeight="1" x14ac:dyDescent="0.25">
      <c r="A17" s="420"/>
      <c r="B17" s="418"/>
      <c r="C17" s="423"/>
      <c r="D17" s="415"/>
      <c r="E17" s="416"/>
      <c r="F17" s="416"/>
      <c r="G17" s="414"/>
      <c r="H17" s="416"/>
      <c r="I17" s="417"/>
      <c r="J17" s="414"/>
      <c r="K17" s="418"/>
      <c r="L17" s="419"/>
      <c r="M17" s="354"/>
      <c r="N17" s="357"/>
      <c r="O17" s="356"/>
      <c r="P17" s="354"/>
      <c r="Q17" s="355"/>
    </row>
    <row r="18" spans="1:17" ht="11.25" customHeight="1" x14ac:dyDescent="0.25">
      <c r="A18" s="422"/>
      <c r="B18" s="418"/>
      <c r="C18" s="423"/>
      <c r="D18" s="415"/>
      <c r="E18" s="416"/>
      <c r="F18" s="416"/>
      <c r="G18" s="414"/>
      <c r="H18" s="416"/>
      <c r="I18" s="417"/>
      <c r="J18" s="414"/>
      <c r="K18" s="418"/>
      <c r="L18" s="419"/>
      <c r="M18" s="354"/>
      <c r="N18" s="357"/>
      <c r="O18" s="356"/>
      <c r="P18" s="354"/>
      <c r="Q18" s="355"/>
    </row>
    <row r="19" spans="1:17" x14ac:dyDescent="0.25">
      <c r="A19" s="424" t="s">
        <v>1015</v>
      </c>
      <c r="B19" s="425"/>
      <c r="C19" s="426"/>
      <c r="D19" s="426"/>
      <c r="E19" s="426"/>
      <c r="F19" s="426"/>
      <c r="G19" s="426"/>
      <c r="H19" s="426"/>
      <c r="I19" s="426"/>
      <c r="J19" s="426"/>
      <c r="K19" s="426"/>
      <c r="L19" s="427"/>
      <c r="M19" s="38">
        <f>SUM(M11:M18)</f>
        <v>0</v>
      </c>
      <c r="N19" s="84">
        <f>SUM(N11:N18)</f>
        <v>0</v>
      </c>
      <c r="O19" s="39">
        <f>SUM(O11:O18)</f>
        <v>0</v>
      </c>
      <c r="P19" s="38">
        <f>SUM(P11:P18)</f>
        <v>0</v>
      </c>
      <c r="Q19" s="84">
        <f>SUM(Q11:Q18)</f>
        <v>0</v>
      </c>
    </row>
    <row r="20" spans="1:17" x14ac:dyDescent="0.25">
      <c r="A20" s="41" t="s">
        <v>404</v>
      </c>
    </row>
    <row r="21" spans="1:17" x14ac:dyDescent="0.25">
      <c r="A21" s="41" t="s">
        <v>405</v>
      </c>
    </row>
    <row r="22" spans="1:17" x14ac:dyDescent="0.25">
      <c r="A22" s="41" t="s">
        <v>225</v>
      </c>
    </row>
    <row r="23" spans="1:17" ht="13.5" x14ac:dyDescent="0.25">
      <c r="A23" s="88"/>
    </row>
    <row r="24" spans="1:17" ht="13.5" x14ac:dyDescent="0.25">
      <c r="A24" s="88"/>
    </row>
    <row r="25" spans="1:17" ht="13.5" x14ac:dyDescent="0.25">
      <c r="A25" s="88"/>
    </row>
    <row r="26" spans="1:17" ht="13.5" x14ac:dyDescent="0.25">
      <c r="A26" s="88"/>
    </row>
    <row r="27" spans="1:17" ht="13.5" x14ac:dyDescent="0.25">
      <c r="A27" s="88"/>
    </row>
    <row r="28" spans="1:17" ht="13.5" x14ac:dyDescent="0.25">
      <c r="A28" s="88"/>
    </row>
    <row r="29" spans="1:17" ht="13.5" x14ac:dyDescent="0.25">
      <c r="A29" s="88"/>
    </row>
    <row r="30" spans="1:17" ht="13.5" x14ac:dyDescent="0.25">
      <c r="A30" s="88"/>
    </row>
    <row r="31" spans="1:17" ht="13.5" x14ac:dyDescent="0.25">
      <c r="A31" s="88"/>
    </row>
    <row r="32" spans="1:17" ht="13.5" x14ac:dyDescent="0.25">
      <c r="A32" s="88"/>
    </row>
    <row r="33" spans="1:2" ht="13.5" x14ac:dyDescent="0.25">
      <c r="A33" s="88"/>
    </row>
    <row r="34" spans="1:2" ht="13.5" x14ac:dyDescent="0.25">
      <c r="A34" s="88"/>
    </row>
    <row r="35" spans="1:2" ht="12.75" customHeight="1" x14ac:dyDescent="0.25">
      <c r="B35" s="17"/>
    </row>
    <row r="36" spans="1:2" ht="12.75" customHeight="1" x14ac:dyDescent="0.25">
      <c r="B36" s="17"/>
    </row>
    <row r="37" spans="1:2" ht="12.75" customHeight="1" x14ac:dyDescent="0.25">
      <c r="B37" s="17"/>
    </row>
    <row r="38" spans="1:2" ht="12.75" customHeight="1" x14ac:dyDescent="0.25">
      <c r="B38" s="17"/>
    </row>
    <row r="39" spans="1:2" ht="11.25" customHeight="1" x14ac:dyDescent="0.25">
      <c r="B39" s="17"/>
    </row>
    <row r="40" spans="1:2" x14ac:dyDescent="0.25">
      <c r="B40" s="17"/>
    </row>
    <row r="41" spans="1:2" ht="11.25" customHeight="1" x14ac:dyDescent="0.25">
      <c r="B41" s="17"/>
    </row>
    <row r="42" spans="1:2" ht="11.25" customHeight="1" x14ac:dyDescent="0.25">
      <c r="B42" s="17"/>
    </row>
    <row r="43" spans="1:2" ht="11.25" customHeight="1" x14ac:dyDescent="0.25">
      <c r="B43" s="17"/>
    </row>
    <row r="44" spans="1:2" ht="11.25" customHeight="1" x14ac:dyDescent="0.25">
      <c r="B44" s="17"/>
    </row>
    <row r="45" spans="1:2" ht="11.25" customHeight="1" x14ac:dyDescent="0.25">
      <c r="B45" s="17"/>
    </row>
    <row r="46" spans="1:2" ht="11.25" customHeight="1" x14ac:dyDescent="0.25">
      <c r="B46" s="17"/>
    </row>
    <row r="47" spans="1:2" ht="11.25" customHeight="1" x14ac:dyDescent="0.25">
      <c r="B47" s="17"/>
    </row>
    <row r="48" spans="1:2" ht="11.25" customHeight="1" x14ac:dyDescent="0.25">
      <c r="B48" s="17"/>
    </row>
    <row r="49" spans="2:2" ht="11.25" customHeight="1" x14ac:dyDescent="0.25">
      <c r="B49" s="17"/>
    </row>
    <row r="50" spans="2:2" ht="11.25" customHeight="1" x14ac:dyDescent="0.25">
      <c r="B50" s="17"/>
    </row>
    <row r="51" spans="2:2" ht="11.25" customHeight="1" x14ac:dyDescent="0.25">
      <c r="B51" s="17"/>
    </row>
    <row r="52" spans="2:2" ht="11.25" customHeight="1" x14ac:dyDescent="0.25">
      <c r="B52" s="17"/>
    </row>
    <row r="53" spans="2:2" ht="11.25" customHeight="1" x14ac:dyDescent="0.25">
      <c r="B53" s="17"/>
    </row>
    <row r="54" spans="2:2" ht="11.25" customHeight="1" x14ac:dyDescent="0.25">
      <c r="B54" s="17"/>
    </row>
    <row r="55" spans="2:2" ht="11.25" customHeight="1" x14ac:dyDescent="0.25">
      <c r="B55" s="17"/>
    </row>
    <row r="56" spans="2:2" ht="11.25" customHeight="1" x14ac:dyDescent="0.25">
      <c r="B56" s="17"/>
    </row>
    <row r="57" spans="2:2" ht="11.25" customHeight="1" x14ac:dyDescent="0.25">
      <c r="B57" s="17"/>
    </row>
    <row r="58" spans="2:2" ht="11.25" customHeight="1" x14ac:dyDescent="0.25">
      <c r="B58" s="17"/>
    </row>
    <row r="59" spans="2:2" ht="11.25" customHeight="1" x14ac:dyDescent="0.25">
      <c r="B59" s="17"/>
    </row>
    <row r="60" spans="2:2" ht="11.25" customHeight="1" x14ac:dyDescent="0.25">
      <c r="B60" s="17"/>
    </row>
    <row r="61" spans="2:2" ht="11.25" customHeight="1" x14ac:dyDescent="0.25">
      <c r="B61" s="17"/>
    </row>
    <row r="62" spans="2:2" ht="11.25" customHeight="1" x14ac:dyDescent="0.25">
      <c r="B62" s="17"/>
    </row>
    <row r="63" spans="2:2" ht="11.25" customHeight="1" x14ac:dyDescent="0.25">
      <c r="B63" s="17"/>
    </row>
    <row r="64" spans="2:2" x14ac:dyDescent="0.25">
      <c r="B64" s="17"/>
    </row>
    <row r="65" spans="2:2" x14ac:dyDescent="0.25">
      <c r="B65" s="17"/>
    </row>
    <row r="66" spans="2:2" ht="11.25" customHeight="1" x14ac:dyDescent="0.25">
      <c r="B66" s="17"/>
    </row>
    <row r="67" spans="2:2" ht="22.5" customHeight="1" x14ac:dyDescent="0.25">
      <c r="B67" s="17"/>
    </row>
    <row r="68" spans="2:2" x14ac:dyDescent="0.25">
      <c r="B68" s="17"/>
    </row>
    <row r="69" spans="2:2" x14ac:dyDescent="0.25">
      <c r="B69" s="17"/>
    </row>
    <row r="70" spans="2:2" ht="11.25" customHeight="1" x14ac:dyDescent="0.25">
      <c r="B70" s="17"/>
    </row>
    <row r="71" spans="2:2" ht="11.25" customHeight="1" x14ac:dyDescent="0.25">
      <c r="B71" s="17"/>
    </row>
    <row r="72" spans="2:2" ht="11.25" customHeight="1" x14ac:dyDescent="0.25">
      <c r="B72" s="17"/>
    </row>
    <row r="73" spans="2:2" ht="11.25" customHeight="1" x14ac:dyDescent="0.25">
      <c r="B73" s="17"/>
    </row>
    <row r="74" spans="2:2" ht="11.25" customHeight="1" x14ac:dyDescent="0.25">
      <c r="B74" s="17"/>
    </row>
    <row r="75" spans="2:2" ht="11.25" customHeight="1" x14ac:dyDescent="0.25">
      <c r="B75" s="17"/>
    </row>
    <row r="76" spans="2:2" ht="11.25" customHeight="1" x14ac:dyDescent="0.25">
      <c r="B76" s="17"/>
    </row>
    <row r="77" spans="2:2" ht="11.25" customHeight="1" x14ac:dyDescent="0.25">
      <c r="B77" s="17"/>
    </row>
    <row r="78" spans="2:2" ht="11.25" customHeight="1" x14ac:dyDescent="0.25">
      <c r="B78" s="17"/>
    </row>
    <row r="79" spans="2:2" ht="11.25" customHeight="1" x14ac:dyDescent="0.25">
      <c r="B79" s="17"/>
    </row>
    <row r="80" spans="2:2" ht="11.25" customHeight="1" x14ac:dyDescent="0.25">
      <c r="B80" s="17"/>
    </row>
    <row r="81" spans="2:2" ht="11.25" customHeight="1" x14ac:dyDescent="0.25">
      <c r="B81" s="17"/>
    </row>
    <row r="82" spans="2:2" ht="11.25" customHeight="1" x14ac:dyDescent="0.25">
      <c r="B82" s="17"/>
    </row>
    <row r="83" spans="2:2" ht="11.25" customHeight="1" x14ac:dyDescent="0.25">
      <c r="B83" s="17"/>
    </row>
    <row r="84" spans="2:2" ht="11.25" customHeight="1" x14ac:dyDescent="0.25">
      <c r="B84" s="17"/>
    </row>
    <row r="85" spans="2:2" ht="11.25" customHeight="1" x14ac:dyDescent="0.25">
      <c r="B85" s="17"/>
    </row>
    <row r="86" spans="2:2" ht="11.25" customHeight="1" x14ac:dyDescent="0.25">
      <c r="B86" s="17"/>
    </row>
    <row r="87" spans="2:2" ht="11.25" customHeight="1" x14ac:dyDescent="0.25">
      <c r="B87" s="17"/>
    </row>
    <row r="88" spans="2:2" ht="11.25" customHeight="1" x14ac:dyDescent="0.25">
      <c r="B88" s="17"/>
    </row>
    <row r="89" spans="2:2" ht="11.25" customHeight="1" x14ac:dyDescent="0.25">
      <c r="B89" s="17"/>
    </row>
    <row r="90" spans="2:2" ht="11.25" customHeight="1" x14ac:dyDescent="0.25">
      <c r="B90" s="17"/>
    </row>
    <row r="91" spans="2:2" ht="11.25" customHeight="1" x14ac:dyDescent="0.25">
      <c r="B91" s="17"/>
    </row>
    <row r="92" spans="2:2" ht="11.25" customHeight="1" x14ac:dyDescent="0.25">
      <c r="B92" s="17"/>
    </row>
    <row r="93" spans="2:2" ht="11.25" customHeight="1" x14ac:dyDescent="0.25">
      <c r="B93" s="17"/>
    </row>
    <row r="94" spans="2:2" ht="11.25" customHeight="1" x14ac:dyDescent="0.25">
      <c r="B94" s="17"/>
    </row>
    <row r="95" spans="2:2" ht="11.25" customHeight="1" x14ac:dyDescent="0.25">
      <c r="B95" s="17"/>
    </row>
    <row r="96" spans="2:2" ht="11.25" customHeight="1" x14ac:dyDescent="0.25">
      <c r="B96" s="17"/>
    </row>
    <row r="97" spans="2:2" ht="11.25" customHeight="1" x14ac:dyDescent="0.25">
      <c r="B97" s="17"/>
    </row>
    <row r="98" spans="2:2" ht="11.25" customHeight="1" x14ac:dyDescent="0.25">
      <c r="B98" s="17"/>
    </row>
    <row r="99" spans="2:2" ht="11.25" customHeight="1" x14ac:dyDescent="0.25">
      <c r="B99" s="17"/>
    </row>
    <row r="100" spans="2:2" ht="11.25" customHeight="1" x14ac:dyDescent="0.25">
      <c r="B100" s="17"/>
    </row>
    <row r="101" spans="2:2" ht="11.25" customHeight="1" x14ac:dyDescent="0.25">
      <c r="B101" s="17"/>
    </row>
    <row r="102" spans="2:2" ht="11.25" customHeight="1" x14ac:dyDescent="0.25">
      <c r="B102" s="17"/>
    </row>
    <row r="103" spans="2:2" ht="11.25" customHeight="1" x14ac:dyDescent="0.25">
      <c r="B103" s="17"/>
    </row>
    <row r="104" spans="2:2" ht="11.25" customHeight="1" x14ac:dyDescent="0.25">
      <c r="B104" s="17"/>
    </row>
    <row r="105" spans="2:2" ht="11.25" customHeight="1" x14ac:dyDescent="0.25">
      <c r="B105" s="17"/>
    </row>
    <row r="106" spans="2:2" ht="11.25" customHeight="1" x14ac:dyDescent="0.25">
      <c r="B106" s="17"/>
    </row>
    <row r="107" spans="2:2" x14ac:dyDescent="0.25">
      <c r="B107" s="17"/>
    </row>
    <row r="108" spans="2:2" x14ac:dyDescent="0.25">
      <c r="B108" s="17"/>
    </row>
    <row r="109" spans="2:2" x14ac:dyDescent="0.25">
      <c r="B109" s="17"/>
    </row>
    <row r="110" spans="2:2" x14ac:dyDescent="0.25">
      <c r="B110" s="17"/>
    </row>
    <row r="111" spans="2:2" x14ac:dyDescent="0.25">
      <c r="B111" s="17"/>
    </row>
    <row r="112" spans="2:2" x14ac:dyDescent="0.25">
      <c r="B112" s="17"/>
    </row>
    <row r="113" spans="2:2" x14ac:dyDescent="0.25">
      <c r="B113" s="17"/>
    </row>
    <row r="114" spans="2:2" x14ac:dyDescent="0.25">
      <c r="B114" s="17"/>
    </row>
    <row r="115" spans="2:2" x14ac:dyDescent="0.25">
      <c r="B115" s="17"/>
    </row>
    <row r="116" spans="2:2" x14ac:dyDescent="0.25">
      <c r="B116" s="17"/>
    </row>
    <row r="117" spans="2:2" x14ac:dyDescent="0.25">
      <c r="B117" s="17"/>
    </row>
    <row r="118" spans="2:2" x14ac:dyDescent="0.25">
      <c r="B118" s="17"/>
    </row>
    <row r="119" spans="2:2" x14ac:dyDescent="0.25">
      <c r="B119" s="17"/>
    </row>
    <row r="120" spans="2:2" x14ac:dyDescent="0.25">
      <c r="B120" s="17"/>
    </row>
    <row r="121" spans="2:2" x14ac:dyDescent="0.25">
      <c r="B121" s="17"/>
    </row>
    <row r="122" spans="2:2" x14ac:dyDescent="0.25">
      <c r="B122" s="17"/>
    </row>
    <row r="123" spans="2:2" x14ac:dyDescent="0.25">
      <c r="B123" s="17"/>
    </row>
    <row r="124" spans="2:2" x14ac:dyDescent="0.25">
      <c r="B124" s="17"/>
    </row>
    <row r="125" spans="2:2" x14ac:dyDescent="0.25">
      <c r="B125" s="17"/>
    </row>
    <row r="126" spans="2:2" x14ac:dyDescent="0.25">
      <c r="B126" s="17"/>
    </row>
    <row r="127" spans="2:2" x14ac:dyDescent="0.25">
      <c r="B127" s="17"/>
    </row>
    <row r="128" spans="2:2" x14ac:dyDescent="0.25">
      <c r="B128" s="17"/>
    </row>
    <row r="129" spans="2:2" x14ac:dyDescent="0.25">
      <c r="B129" s="17"/>
    </row>
  </sheetData>
  <sheetProtection sheet="1" objects="1" scenarios="1"/>
  <mergeCells count="2">
    <mergeCell ref="M2:N2"/>
    <mergeCell ref="O2:Q2"/>
  </mergeCells>
  <phoneticPr fontId="2" type="noConversion"/>
  <dataValidations count="5">
    <dataValidation type="list" allowBlank="1" showInputMessage="1" showErrorMessage="1" promptTitle="Select MTSF Service Outcome" prompt="Select MTSF from list" sqref="SW7:SW18 ACS7:ACS18 AMO7:AMO18 AWK7:AWK18 BGG7:BGG18 BQC7:BQC18 BZY7:BZY18 CJU7:CJU18 CTQ7:CTQ18 DDM7:DDM18 DNI7:DNI18 DXE7:DXE18 EHA7:EHA18 EQW7:EQW18 FAS7:FAS18 FKO7:FKO18 FUK7:FUK18 GEG7:GEG18 GOC7:GOC18 GXY7:GXY18 HHU7:HHU18 HRQ7:HRQ18 IBM7:IBM18 ILI7:ILI18 IVE7:IVE18 JFA7:JFA18 JOW7:JOW18 JYS7:JYS18 KIO7:KIO18 KSK7:KSK18 LCG7:LCG18 LMC7:LMC18 LVY7:LVY18 MFU7:MFU18 MPQ7:MPQ18 MZM7:MZM18 NJI7:NJI18 NTE7:NTE18 ODA7:ODA18 OMW7:OMW18 OWS7:OWS18 PGO7:PGO18 PQK7:PQK18 QAG7:QAG18 QKC7:QKC18 QTY7:QTY18 RDU7:RDU18 RNQ7:RNQ18 RXM7:RXM18 SHI7:SHI18 SRE7:SRE18 TBA7:TBA18 TKW7:TKW18 TUS7:TUS18 UEO7:UEO18 UOK7:UOK18 UYG7:UYG18 VIC7:VIC18 VRY7:VRY18 WBU7:WBU18 WLQ7:WLQ18 WVM7:WVM18 E7:E18 JA7:JA18" xr:uid="{00000000-0002-0000-1600-000000000000}">
      <formula1>MTSF</formula1>
    </dataValidation>
    <dataValidation type="list" allowBlank="1" showInputMessage="1" showErrorMessage="1" promptTitle="Select IUDF" prompt="Select IUDF from list" sqref="SX7:SX18 ACT7:ACT18 AMP7:AMP18 AWL7:AWL18 BGH7:BGH18 BQD7:BQD18 BZZ7:BZZ18 CJV7:CJV18 CTR7:CTR18 DDN7:DDN18 DNJ7:DNJ18 DXF7:DXF18 EHB7:EHB18 EQX7:EQX18 FAT7:FAT18 FKP7:FKP18 FUL7:FUL18 GEH7:GEH18 GOD7:GOD18 GXZ7:GXZ18 HHV7:HHV18 HRR7:HRR18 IBN7:IBN18 ILJ7:ILJ18 IVF7:IVF18 JFB7:JFB18 JOX7:JOX18 JYT7:JYT18 KIP7:KIP18 KSL7:KSL18 LCH7:LCH18 LMD7:LMD18 LVZ7:LVZ18 MFV7:MFV18 MPR7:MPR18 MZN7:MZN18 NJJ7:NJJ18 NTF7:NTF18 ODB7:ODB18 OMX7:OMX18 OWT7:OWT18 PGP7:PGP18 PQL7:PQL18 QAH7:QAH18 QKD7:QKD18 QTZ7:QTZ18 RDV7:RDV18 RNR7:RNR18 RXN7:RXN18 SHJ7:SHJ18 SRF7:SRF18 TBB7:TBB18 TKX7:TKX18 TUT7:TUT18 UEP7:UEP18 UOL7:UOL18 UYH7:UYH18 VID7:VID18 VRZ7:VRZ18 WBV7:WBV18 WLR7:WLR18 WVN7:WVN18 F7:F18 JB7:JB18" xr:uid="{00000000-0002-0000-1600-000001000000}">
      <formula1>IUDF</formula1>
    </dataValidation>
    <dataValidation type="list" allowBlank="1" showInputMessage="1" showErrorMessage="1" sqref="SV7:SV18 ACR7:ACR18 AMN7:AMN18 AWJ7:AWJ18 BGF7:BGF18 BQB7:BQB18 BZX7:BZX18 CJT7:CJT18 CTP7:CTP18 DDL7:DDL18 DNH7:DNH18 DXD7:DXD18 EGZ7:EGZ18 EQV7:EQV18 FAR7:FAR18 FKN7:FKN18 FUJ7:FUJ18 GEF7:GEF18 GOB7:GOB18 GXX7:GXX18 HHT7:HHT18 HRP7:HRP18 IBL7:IBL18 ILH7:ILH18 IVD7:IVD18 JEZ7:JEZ18 JOV7:JOV18 JYR7:JYR18 KIN7:KIN18 KSJ7:KSJ18 LCF7:LCF18 LMB7:LMB18 LVX7:LVX18 MFT7:MFT18 MPP7:MPP18 MZL7:MZL18 NJH7:NJH18 NTD7:NTD18 OCZ7:OCZ18 OMV7:OMV18 OWR7:OWR18 PGN7:PGN18 PQJ7:PQJ18 QAF7:QAF18 QKB7:QKB18 QTX7:QTX18 RDT7:RDT18 RNP7:RNP18 RXL7:RXL18 SHH7:SHH18 SRD7:SRD18 TAZ7:TAZ18 TKV7:TKV18 TUR7:TUR18 UEN7:UEN18 UOJ7:UOJ18 UYF7:UYF18 VIB7:VIB18 VRX7:VRX18 WBT7:WBT18 WLP7:WLP18 WVL7:WVL18 D7:D18 IZ7:IZ18" xr:uid="{00000000-0002-0000-1600-000002000000}">
      <formula1>"New,Renewal,Upgrading"</formula1>
    </dataValidation>
    <dataValidation type="list" allowBlank="1" showInputMessage="1" showErrorMessage="1" promptTitle="Select Asset Sub-Class" prompt="Select asset sub class from list" sqref="TA7:TA18 ACW7:ACW18 AMS7:AMS18 AWO7:AWO18 BGK7:BGK18 BQG7:BQG18 CAC7:CAC18 CJY7:CJY18 CTU7:CTU18 DDQ7:DDQ18 DNM7:DNM18 DXI7:DXI18 EHE7:EHE18 ERA7:ERA18 FAW7:FAW18 FKS7:FKS18 FUO7:FUO18 GEK7:GEK18 GOG7:GOG18 GYC7:GYC18 HHY7:HHY18 HRU7:HRU18 IBQ7:IBQ18 ILM7:ILM18 IVI7:IVI18 JFE7:JFE18 JPA7:JPA18 JYW7:JYW18 KIS7:KIS18 KSO7:KSO18 LCK7:LCK18 LMG7:LMG18 LWC7:LWC18 MFY7:MFY18 MPU7:MPU18 MZQ7:MZQ18 NJM7:NJM18 NTI7:NTI18 ODE7:ODE18 ONA7:ONA18 OWW7:OWW18 PGS7:PGS18 PQO7:PQO18 QAK7:QAK18 QKG7:QKG18 QUC7:QUC18 RDY7:RDY18 RNU7:RNU18 RXQ7:RXQ18 SHM7:SHM18 SRI7:SRI18 TBE7:TBE18 TLA7:TLA18 TUW7:TUW18 UES7:UES18 UOO7:UOO18 UYK7:UYK18 VIG7:VIG18 VSC7:VSC18 WBY7:WBY18 WLU7:WLU18 WVQ7:WVQ18 I7:I18 JE7:JE18" xr:uid="{00000000-0002-0000-1600-000003000000}">
      <formula1>asset_subclass1</formula1>
    </dataValidation>
    <dataValidation type="list" allowBlank="1" showInputMessage="1" showErrorMessage="1" promptTitle="Select Asset Class" prompt="Select asset class from list" sqref="SZ7:SZ18 ACV7:ACV18 AMR7:AMR18 AWN7:AWN18 BGJ7:BGJ18 BQF7:BQF18 CAB7:CAB18 CJX7:CJX18 CTT7:CTT18 DDP7:DDP18 DNL7:DNL18 DXH7:DXH18 EHD7:EHD18 EQZ7:EQZ18 FAV7:FAV18 FKR7:FKR18 FUN7:FUN18 GEJ7:GEJ18 GOF7:GOF18 GYB7:GYB18 HHX7:HHX18 HRT7:HRT18 IBP7:IBP18 ILL7:ILL18 IVH7:IVH18 JFD7:JFD18 JOZ7:JOZ18 JYV7:JYV18 KIR7:KIR18 KSN7:KSN18 LCJ7:LCJ18 LMF7:LMF18 LWB7:LWB18 MFX7:MFX18 MPT7:MPT18 MZP7:MZP18 NJL7:NJL18 NTH7:NTH18 ODD7:ODD18 OMZ7:OMZ18 OWV7:OWV18 PGR7:PGR18 PQN7:PQN18 QAJ7:QAJ18 QKF7:QKF18 QUB7:QUB18 RDX7:RDX18 RNT7:RNT18 RXP7:RXP18 SHL7:SHL18 SRH7:SRH18 TBD7:TBD18 TKZ7:TKZ18 TUV7:TUV18 UER7:UER18 UON7:UON18 UYJ7:UYJ18 VIF7:VIF18 VSB7:VSB18 WBX7:WBX18 WLT7:WLT18 WVP7:WVP18 H7:H18 JD7:JD18" xr:uid="{00000000-0002-0000-1600-000004000000}">
      <formula1>asset_class1</formula1>
    </dataValidation>
  </dataValidations>
  <printOptions horizontalCentered="1"/>
  <pageMargins left="0.35433070866141736" right="0.2" top="0.8" bottom="0.57999999999999996" header="0.51181102362204722" footer="0.4"/>
  <pageSetup paperSize="9" scale="5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0">
    <tabColor rgb="FFCCFFCC"/>
    <pageSetUpPr fitToPage="1"/>
  </sheetPr>
  <dimension ref="A1:F61"/>
  <sheetViews>
    <sheetView showGridLines="0" zoomScaleNormal="100" zoomScaleSheetLayoutView="110" workbookViewId="0">
      <pane xSplit="2" ySplit="4" topLeftCell="C5" activePane="bottomRight" state="frozen"/>
      <selection activeCell="A23" sqref="A23"/>
      <selection pane="topRight" activeCell="A23" sqref="A23"/>
      <selection pane="bottomLeft" activeCell="A23" sqref="A23"/>
      <selection pane="bottomRight" activeCell="A23" sqref="A23"/>
    </sheetView>
  </sheetViews>
  <sheetFormatPr defaultColWidth="9.140625" defaultRowHeight="12.75" x14ac:dyDescent="0.25"/>
  <cols>
    <col min="1" max="1" width="35.7109375" style="17" customWidth="1"/>
    <col min="2" max="2" width="3.5703125" style="32" customWidth="1"/>
    <col min="3" max="3" width="10.7109375" style="17" customWidth="1"/>
    <col min="4" max="4" width="25.7109375" style="17" customWidth="1"/>
    <col min="5" max="6" width="10.7109375" style="17" customWidth="1"/>
    <col min="7" max="7" width="9.85546875" style="17" customWidth="1"/>
    <col min="8" max="8" width="9.85546875" style="17" bestFit="1" customWidth="1"/>
    <col min="9" max="10" width="9.85546875" style="17" customWidth="1"/>
    <col min="11" max="11" width="9.5703125" style="17" customWidth="1"/>
    <col min="12" max="12" width="9.85546875" style="17" customWidth="1"/>
    <col min="13" max="15" width="9.5703125" style="17" customWidth="1"/>
    <col min="16" max="16" width="9.85546875" style="17" customWidth="1"/>
    <col min="17" max="19" width="9.5703125" style="17" customWidth="1"/>
    <col min="20" max="21" width="9.85546875" style="17" customWidth="1"/>
    <col min="22" max="16384" width="9.140625" style="17"/>
  </cols>
  <sheetData>
    <row r="1" spans="1:6" ht="13.5" x14ac:dyDescent="0.25">
      <c r="A1" s="88" t="str">
        <f>_MEB11</f>
        <v>Harry Gwala Development Agency (Pty) Ltd - Supporting Table SD11 External mechanisms</v>
      </c>
    </row>
    <row r="2" spans="1:6" ht="38.25" x14ac:dyDescent="0.25">
      <c r="A2" s="197" t="s">
        <v>249</v>
      </c>
      <c r="B2" s="563" t="str">
        <f>head27</f>
        <v>Ref</v>
      </c>
      <c r="C2" s="147" t="s">
        <v>790</v>
      </c>
      <c r="D2" s="148" t="s">
        <v>253</v>
      </c>
      <c r="E2" s="564" t="s">
        <v>251</v>
      </c>
      <c r="F2" s="567" t="s">
        <v>789</v>
      </c>
    </row>
    <row r="3" spans="1:6" ht="24" customHeight="1" x14ac:dyDescent="0.25">
      <c r="A3" s="217" t="s">
        <v>250</v>
      </c>
      <c r="B3" s="570"/>
      <c r="C3" s="103" t="s">
        <v>291</v>
      </c>
      <c r="D3" s="146"/>
      <c r="E3" s="565"/>
      <c r="F3" s="568"/>
    </row>
    <row r="4" spans="1:6" ht="13.5" customHeight="1" x14ac:dyDescent="0.25">
      <c r="A4" s="145" t="s">
        <v>186</v>
      </c>
      <c r="B4" s="219"/>
      <c r="C4" s="149"/>
      <c r="D4" s="149"/>
      <c r="E4" s="566"/>
      <c r="F4" s="569"/>
    </row>
    <row r="5" spans="1:6" ht="12.75" customHeight="1" x14ac:dyDescent="0.25">
      <c r="A5" s="218"/>
      <c r="B5" s="220"/>
      <c r="C5" s="194"/>
      <c r="D5" s="194"/>
      <c r="E5" s="194"/>
      <c r="F5" s="331"/>
    </row>
    <row r="6" spans="1:6" ht="12.75" customHeight="1" x14ac:dyDescent="0.25">
      <c r="A6" s="190"/>
      <c r="B6" s="221"/>
      <c r="C6" s="195"/>
      <c r="D6" s="195"/>
      <c r="E6" s="195"/>
      <c r="F6" s="167"/>
    </row>
    <row r="7" spans="1:6" ht="12.75" customHeight="1" x14ac:dyDescent="0.25">
      <c r="A7" s="190"/>
      <c r="B7" s="221"/>
      <c r="C7" s="195"/>
      <c r="D7" s="195"/>
      <c r="E7" s="195"/>
      <c r="F7" s="167"/>
    </row>
    <row r="8" spans="1:6" ht="12.75" customHeight="1" x14ac:dyDescent="0.25">
      <c r="A8" s="190"/>
      <c r="B8" s="221"/>
      <c r="C8" s="195"/>
      <c r="D8" s="195"/>
      <c r="E8" s="195"/>
      <c r="F8" s="167"/>
    </row>
    <row r="9" spans="1:6" ht="12.75" customHeight="1" x14ac:dyDescent="0.25">
      <c r="A9" s="190"/>
      <c r="B9" s="221"/>
      <c r="C9" s="195"/>
      <c r="D9" s="195"/>
      <c r="E9" s="195"/>
      <c r="F9" s="167"/>
    </row>
    <row r="10" spans="1:6" ht="12.75" customHeight="1" x14ac:dyDescent="0.25">
      <c r="A10" s="190"/>
      <c r="B10" s="221"/>
      <c r="C10" s="195"/>
      <c r="D10" s="195"/>
      <c r="E10" s="195"/>
      <c r="F10" s="167"/>
    </row>
    <row r="11" spans="1:6" ht="12.75" customHeight="1" x14ac:dyDescent="0.25">
      <c r="A11" s="190"/>
      <c r="B11" s="221"/>
      <c r="C11" s="195"/>
      <c r="D11" s="195"/>
      <c r="E11" s="195"/>
      <c r="F11" s="167"/>
    </row>
    <row r="12" spans="1:6" ht="12.75" customHeight="1" x14ac:dyDescent="0.25">
      <c r="A12" s="190"/>
      <c r="B12" s="221"/>
      <c r="C12" s="195"/>
      <c r="D12" s="195"/>
      <c r="E12" s="195"/>
      <c r="F12" s="167"/>
    </row>
    <row r="13" spans="1:6" ht="12.75" customHeight="1" x14ac:dyDescent="0.25">
      <c r="A13" s="190"/>
      <c r="B13" s="221"/>
      <c r="C13" s="195"/>
      <c r="D13" s="195"/>
      <c r="E13" s="195"/>
      <c r="F13" s="167"/>
    </row>
    <row r="14" spans="1:6" ht="12.75" customHeight="1" x14ac:dyDescent="0.25">
      <c r="A14" s="190"/>
      <c r="B14" s="221"/>
      <c r="C14" s="195"/>
      <c r="D14" s="195"/>
      <c r="E14" s="195"/>
      <c r="F14" s="167"/>
    </row>
    <row r="15" spans="1:6" ht="12.75" customHeight="1" x14ac:dyDescent="0.25">
      <c r="A15" s="190"/>
      <c r="B15" s="221"/>
      <c r="C15" s="195"/>
      <c r="D15" s="195"/>
      <c r="E15" s="195"/>
      <c r="F15" s="167"/>
    </row>
    <row r="16" spans="1:6" ht="12.75" customHeight="1" x14ac:dyDescent="0.25">
      <c r="A16" s="190"/>
      <c r="B16" s="221"/>
      <c r="C16" s="195"/>
      <c r="D16" s="195"/>
      <c r="E16" s="195"/>
      <c r="F16" s="167"/>
    </row>
    <row r="17" spans="1:6" ht="12.75" customHeight="1" x14ac:dyDescent="0.25">
      <c r="A17" s="190"/>
      <c r="B17" s="221"/>
      <c r="C17" s="195"/>
      <c r="D17" s="195"/>
      <c r="E17" s="195"/>
      <c r="F17" s="167"/>
    </row>
    <row r="18" spans="1:6" ht="12.75" customHeight="1" x14ac:dyDescent="0.25">
      <c r="A18" s="190"/>
      <c r="B18" s="221"/>
      <c r="C18" s="195"/>
      <c r="D18" s="195"/>
      <c r="E18" s="195"/>
      <c r="F18" s="167"/>
    </row>
    <row r="19" spans="1:6" ht="12.75" customHeight="1" x14ac:dyDescent="0.25">
      <c r="A19" s="190"/>
      <c r="B19" s="221"/>
      <c r="C19" s="195"/>
      <c r="D19" s="195"/>
      <c r="E19" s="195"/>
      <c r="F19" s="167"/>
    </row>
    <row r="20" spans="1:6" ht="12.75" customHeight="1" x14ac:dyDescent="0.25">
      <c r="A20" s="190"/>
      <c r="B20" s="221"/>
      <c r="C20" s="195"/>
      <c r="D20" s="195"/>
      <c r="E20" s="195"/>
      <c r="F20" s="167"/>
    </row>
    <row r="21" spans="1:6" ht="12.75" customHeight="1" x14ac:dyDescent="0.25">
      <c r="A21" s="190"/>
      <c r="B21" s="221"/>
      <c r="C21" s="195"/>
      <c r="D21" s="195"/>
      <c r="E21" s="195"/>
      <c r="F21" s="167"/>
    </row>
    <row r="22" spans="1:6" ht="12.75" customHeight="1" x14ac:dyDescent="0.25">
      <c r="A22" s="190"/>
      <c r="B22" s="221"/>
      <c r="C22" s="195"/>
      <c r="D22" s="195"/>
      <c r="E22" s="195"/>
      <c r="F22" s="167"/>
    </row>
    <row r="23" spans="1:6" ht="12.75" customHeight="1" x14ac:dyDescent="0.25">
      <c r="A23" s="190"/>
      <c r="B23" s="221"/>
      <c r="C23" s="195"/>
      <c r="D23" s="195"/>
      <c r="E23" s="195"/>
      <c r="F23" s="167"/>
    </row>
    <row r="24" spans="1:6" ht="12.75" customHeight="1" x14ac:dyDescent="0.25">
      <c r="A24" s="28"/>
      <c r="B24" s="222"/>
      <c r="C24" s="332"/>
      <c r="D24" s="332"/>
      <c r="E24" s="332"/>
      <c r="F24" s="108">
        <f>SUM(F5:F23)</f>
        <v>0</v>
      </c>
    </row>
    <row r="25" spans="1:6" ht="12.75" customHeight="1" x14ac:dyDescent="0.25">
      <c r="A25" s="31" t="str">
        <f>head27a</f>
        <v>References</v>
      </c>
      <c r="C25" s="44"/>
      <c r="D25" s="44"/>
      <c r="E25" s="44"/>
      <c r="F25" s="44"/>
    </row>
    <row r="26" spans="1:6" ht="12.75" customHeight="1" x14ac:dyDescent="0.25">
      <c r="A26" s="41" t="s">
        <v>252</v>
      </c>
      <c r="C26" s="35"/>
      <c r="D26" s="34"/>
      <c r="E26" s="35"/>
      <c r="F26" s="35"/>
    </row>
    <row r="27" spans="1:6" ht="12.75" customHeight="1" x14ac:dyDescent="0.25">
      <c r="A27" s="41" t="s">
        <v>254</v>
      </c>
      <c r="C27" s="44"/>
      <c r="D27" s="44"/>
      <c r="E27" s="44"/>
      <c r="F27" s="44"/>
    </row>
    <row r="28" spans="1:6" ht="11.25" customHeight="1" x14ac:dyDescent="0.25"/>
    <row r="29" spans="1:6" ht="11.25" customHeight="1" x14ac:dyDescent="0.25"/>
    <row r="30" spans="1:6" ht="11.25" customHeight="1" x14ac:dyDescent="0.25"/>
    <row r="31" spans="1:6" ht="11.25" customHeight="1" x14ac:dyDescent="0.25"/>
    <row r="32" spans="1:6"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sheetData>
  <sheetProtection sheet="1" objects="1" scenarios="1"/>
  <mergeCells count="3">
    <mergeCell ref="E2:E4"/>
    <mergeCell ref="F2:F4"/>
    <mergeCell ref="B2:B3"/>
  </mergeCells>
  <phoneticPr fontId="2" type="noConversion"/>
  <printOptions horizontalCentered="1"/>
  <pageMargins left="0.37" right="0.14000000000000001" top="0.79" bottom="0.6" header="0.51181102362204722" footer="0.5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1"/>
  </sheetPr>
  <dimension ref="A1:U312"/>
  <sheetViews>
    <sheetView topLeftCell="A284" workbookViewId="0">
      <selection activeCell="B286" sqref="B286"/>
    </sheetView>
  </sheetViews>
  <sheetFormatPr defaultColWidth="9.140625" defaultRowHeight="11.25" x14ac:dyDescent="0.2"/>
  <cols>
    <col min="1" max="1" width="28.85546875" style="1" bestFit="1" customWidth="1"/>
    <col min="2" max="4" width="41.85546875" style="1" bestFit="1" customWidth="1"/>
    <col min="5" max="14" width="41.85546875" style="1" customWidth="1"/>
    <col min="15" max="15" width="43.5703125" style="1" bestFit="1" customWidth="1"/>
    <col min="16" max="16" width="1.28515625" style="1" customWidth="1"/>
    <col min="17" max="17" width="9.140625" style="1"/>
    <col min="18" max="18" width="24.140625" style="1" bestFit="1" customWidth="1"/>
    <col min="19" max="19" width="17.5703125" style="1" bestFit="1" customWidth="1"/>
    <col min="20" max="20" width="22.5703125" style="1" bestFit="1" customWidth="1"/>
    <col min="21" max="21" width="14.7109375" style="1" bestFit="1" customWidth="1"/>
    <col min="22" max="16384" width="9.140625" style="1"/>
  </cols>
  <sheetData>
    <row r="1" spans="1:21" s="152" customFormat="1" x14ac:dyDescent="0.2">
      <c r="A1" s="198" t="s">
        <v>191</v>
      </c>
      <c r="B1" s="199">
        <v>2007</v>
      </c>
      <c r="C1" s="199">
        <v>2008</v>
      </c>
      <c r="D1" s="199">
        <v>2009</v>
      </c>
      <c r="E1" s="200">
        <v>2010</v>
      </c>
      <c r="F1" s="199">
        <v>2011</v>
      </c>
      <c r="G1" s="200">
        <v>2012</v>
      </c>
      <c r="H1" s="199">
        <v>2013</v>
      </c>
      <c r="I1" s="200">
        <v>2014</v>
      </c>
      <c r="J1" s="199">
        <v>2015</v>
      </c>
      <c r="K1" s="200">
        <v>2016</v>
      </c>
      <c r="L1" s="199">
        <v>2017</v>
      </c>
      <c r="M1" s="200">
        <v>2018</v>
      </c>
      <c r="N1" s="199">
        <v>2019</v>
      </c>
      <c r="O1" s="200">
        <v>2020</v>
      </c>
      <c r="P1" s="201"/>
      <c r="Q1" s="202" t="s">
        <v>438</v>
      </c>
      <c r="R1" s="202" t="s">
        <v>439</v>
      </c>
      <c r="S1" s="202" t="s">
        <v>440</v>
      </c>
      <c r="T1" s="202" t="s">
        <v>441</v>
      </c>
      <c r="U1" s="202" t="s">
        <v>442</v>
      </c>
    </row>
    <row r="2" spans="1:21" x14ac:dyDescent="0.2">
      <c r="A2" s="5" t="str">
        <f>'Template names'!C2</f>
        <v>Prior year -1</v>
      </c>
      <c r="B2" s="1" t="s">
        <v>443</v>
      </c>
      <c r="C2" s="1" t="s">
        <v>91</v>
      </c>
      <c r="D2" s="1" t="s">
        <v>444</v>
      </c>
      <c r="E2" s="203" t="str">
        <f t="shared" ref="E2:O2" si="0">E1-2&amp;"/"&amp;RIGHT(E1,2)-1</f>
        <v>2008/9</v>
      </c>
      <c r="F2" s="203" t="str">
        <f t="shared" si="0"/>
        <v>2009/10</v>
      </c>
      <c r="G2" s="203" t="str">
        <f t="shared" si="0"/>
        <v>2010/11</v>
      </c>
      <c r="H2" s="203" t="str">
        <f t="shared" si="0"/>
        <v>2011/12</v>
      </c>
      <c r="I2" s="203" t="str">
        <f t="shared" si="0"/>
        <v>2012/13</v>
      </c>
      <c r="J2" s="203" t="str">
        <f t="shared" si="0"/>
        <v>2013/14</v>
      </c>
      <c r="K2" s="203" t="str">
        <f t="shared" si="0"/>
        <v>2014/15</v>
      </c>
      <c r="L2" s="203" t="str">
        <f t="shared" si="0"/>
        <v>2015/16</v>
      </c>
      <c r="M2" s="203" t="str">
        <f t="shared" si="0"/>
        <v>2016/17</v>
      </c>
      <c r="N2" s="203" t="str">
        <f t="shared" si="0"/>
        <v>2017/18</v>
      </c>
      <c r="O2" s="203" t="str">
        <f t="shared" si="0"/>
        <v>2018/19</v>
      </c>
      <c r="R2" s="1" t="s">
        <v>446</v>
      </c>
      <c r="S2" s="1" t="s">
        <v>447</v>
      </c>
      <c r="T2" s="1" t="s">
        <v>448</v>
      </c>
    </row>
    <row r="3" spans="1:21" x14ac:dyDescent="0.2">
      <c r="A3" s="5" t="str">
        <f>'Template names'!C3</f>
        <v>Prior year -2</v>
      </c>
      <c r="B3" s="1" t="s">
        <v>69</v>
      </c>
      <c r="C3" s="1" t="s">
        <v>443</v>
      </c>
      <c r="D3" s="1" t="s">
        <v>91</v>
      </c>
      <c r="E3" s="203" t="str">
        <f t="shared" ref="E3:O3" si="1">E1-3&amp;"/"&amp;RIGHT(E1,2)-2</f>
        <v>2007/8</v>
      </c>
      <c r="F3" s="203" t="str">
        <f t="shared" si="1"/>
        <v>2008/9</v>
      </c>
      <c r="G3" s="203" t="str">
        <f t="shared" si="1"/>
        <v>2009/10</v>
      </c>
      <c r="H3" s="203" t="str">
        <f t="shared" si="1"/>
        <v>2010/11</v>
      </c>
      <c r="I3" s="203" t="str">
        <f t="shared" si="1"/>
        <v>2011/12</v>
      </c>
      <c r="J3" s="203" t="str">
        <f t="shared" si="1"/>
        <v>2012/13</v>
      </c>
      <c r="K3" s="203" t="str">
        <f t="shared" si="1"/>
        <v>2013/14</v>
      </c>
      <c r="L3" s="203" t="str">
        <f t="shared" si="1"/>
        <v>2014/15</v>
      </c>
      <c r="M3" s="203" t="str">
        <f t="shared" si="1"/>
        <v>2015/16</v>
      </c>
      <c r="N3" s="203" t="str">
        <f t="shared" si="1"/>
        <v>2016/17</v>
      </c>
      <c r="O3" s="203" t="str">
        <f t="shared" si="1"/>
        <v>2017/18</v>
      </c>
      <c r="R3" s="1" t="s">
        <v>449</v>
      </c>
      <c r="S3" s="1" t="s">
        <v>450</v>
      </c>
      <c r="T3" s="1" t="s">
        <v>451</v>
      </c>
    </row>
    <row r="4" spans="1:21" x14ac:dyDescent="0.2">
      <c r="A4" s="5" t="str">
        <f>'Template names'!C4</f>
        <v>Prior year -3</v>
      </c>
      <c r="B4" s="1" t="s">
        <v>70</v>
      </c>
      <c r="C4" s="1" t="s">
        <v>69</v>
      </c>
      <c r="D4" s="1" t="s">
        <v>443</v>
      </c>
      <c r="E4" s="203" t="str">
        <f t="shared" ref="E4:O4" si="2">E1-4&amp;"/"&amp;RIGHT(E1,2)-3</f>
        <v>2006/7</v>
      </c>
      <c r="F4" s="203" t="str">
        <f t="shared" si="2"/>
        <v>2007/8</v>
      </c>
      <c r="G4" s="203" t="str">
        <f t="shared" si="2"/>
        <v>2008/9</v>
      </c>
      <c r="H4" s="203" t="str">
        <f t="shared" si="2"/>
        <v>2009/10</v>
      </c>
      <c r="I4" s="203" t="str">
        <f t="shared" si="2"/>
        <v>2010/11</v>
      </c>
      <c r="J4" s="203" t="str">
        <f t="shared" si="2"/>
        <v>2011/12</v>
      </c>
      <c r="K4" s="203" t="str">
        <f t="shared" si="2"/>
        <v>2012/13</v>
      </c>
      <c r="L4" s="203" t="str">
        <f t="shared" si="2"/>
        <v>2013/14</v>
      </c>
      <c r="M4" s="203" t="str">
        <f t="shared" si="2"/>
        <v>2014/15</v>
      </c>
      <c r="N4" s="203" t="str">
        <f t="shared" si="2"/>
        <v>2015/16</v>
      </c>
      <c r="O4" s="203" t="str">
        <f t="shared" si="2"/>
        <v>2016/17</v>
      </c>
      <c r="R4" s="1" t="s">
        <v>452</v>
      </c>
      <c r="S4" s="1" t="s">
        <v>453</v>
      </c>
      <c r="T4" s="1" t="s">
        <v>454</v>
      </c>
    </row>
    <row r="5" spans="1:21" x14ac:dyDescent="0.2">
      <c r="A5" s="5" t="str">
        <f>'Template names'!C5</f>
        <v>Year in which budget is being prepared</v>
      </c>
      <c r="B5" s="1" t="s">
        <v>455</v>
      </c>
      <c r="C5" s="1" t="s">
        <v>456</v>
      </c>
      <c r="D5" s="1" t="s">
        <v>457</v>
      </c>
      <c r="E5" s="203" t="str">
        <f t="shared" ref="E5:O5" si="3">"Current Year "&amp; E1-1&amp;"/"&amp;RIGHT(E1,2)</f>
        <v>Current Year 2009/10</v>
      </c>
      <c r="F5" s="203" t="str">
        <f t="shared" si="3"/>
        <v>Current Year 2010/11</v>
      </c>
      <c r="G5" s="203" t="str">
        <f t="shared" si="3"/>
        <v>Current Year 2011/12</v>
      </c>
      <c r="H5" s="203" t="str">
        <f t="shared" si="3"/>
        <v>Current Year 2012/13</v>
      </c>
      <c r="I5" s="203" t="str">
        <f t="shared" si="3"/>
        <v>Current Year 2013/14</v>
      </c>
      <c r="J5" s="203" t="str">
        <f t="shared" si="3"/>
        <v>Current Year 2014/15</v>
      </c>
      <c r="K5" s="203" t="str">
        <f t="shared" si="3"/>
        <v>Current Year 2015/16</v>
      </c>
      <c r="L5" s="203" t="str">
        <f t="shared" si="3"/>
        <v>Current Year 2016/17</v>
      </c>
      <c r="M5" s="203" t="str">
        <f t="shared" si="3"/>
        <v>Current Year 2017/18</v>
      </c>
      <c r="N5" s="203" t="str">
        <f t="shared" si="3"/>
        <v>Current Year 2018/19</v>
      </c>
      <c r="O5" s="203" t="str">
        <f t="shared" si="3"/>
        <v>Current Year 2019/20</v>
      </c>
      <c r="R5" s="1" t="s">
        <v>458</v>
      </c>
      <c r="S5" s="1" t="s">
        <v>459</v>
      </c>
      <c r="T5" s="1" t="s">
        <v>460</v>
      </c>
    </row>
    <row r="6" spans="1:21" x14ac:dyDescent="0.2">
      <c r="A6" s="5" t="str">
        <f>'Template names'!C6</f>
        <v>Year in which budget is being prepared</v>
      </c>
      <c r="B6" s="1" t="s">
        <v>91</v>
      </c>
      <c r="C6" s="1" t="s">
        <v>444</v>
      </c>
      <c r="D6" s="1" t="s">
        <v>445</v>
      </c>
      <c r="E6" s="203" t="str">
        <f t="shared" ref="E6:O6" si="4">E1-1&amp;"/"&amp;RIGHT(E1,2)</f>
        <v>2009/10</v>
      </c>
      <c r="F6" s="203" t="str">
        <f t="shared" si="4"/>
        <v>2010/11</v>
      </c>
      <c r="G6" s="203" t="str">
        <f t="shared" si="4"/>
        <v>2011/12</v>
      </c>
      <c r="H6" s="203" t="str">
        <f t="shared" si="4"/>
        <v>2012/13</v>
      </c>
      <c r="I6" s="203" t="str">
        <f t="shared" si="4"/>
        <v>2013/14</v>
      </c>
      <c r="J6" s="203" t="str">
        <f t="shared" si="4"/>
        <v>2014/15</v>
      </c>
      <c r="K6" s="203" t="str">
        <f t="shared" si="4"/>
        <v>2015/16</v>
      </c>
      <c r="L6" s="203" t="str">
        <f t="shared" si="4"/>
        <v>2016/17</v>
      </c>
      <c r="M6" s="203" t="str">
        <f t="shared" si="4"/>
        <v>2017/18</v>
      </c>
      <c r="N6" s="203" t="str">
        <f t="shared" si="4"/>
        <v>2018/19</v>
      </c>
      <c r="O6" s="203" t="str">
        <f t="shared" si="4"/>
        <v>2019/20</v>
      </c>
      <c r="R6" s="1" t="s">
        <v>461</v>
      </c>
      <c r="T6" s="1" t="s">
        <v>462</v>
      </c>
    </row>
    <row r="7" spans="1:21" x14ac:dyDescent="0.2">
      <c r="A7" s="5" t="str">
        <f>'Template names'!C7</f>
        <v>MTREF name</v>
      </c>
      <c r="B7" s="1" t="s">
        <v>463</v>
      </c>
      <c r="C7" s="1" t="s">
        <v>464</v>
      </c>
      <c r="D7" s="1" t="s">
        <v>465</v>
      </c>
      <c r="E7" s="203" t="str">
        <f t="shared" ref="E7:O7" si="5">E1&amp;"/"&amp;RIGHT(E1,2)+1&amp;" Medium Term Revenue &amp; Expenditure Framework"</f>
        <v>2010/11 Medium Term Revenue &amp; Expenditure Framework</v>
      </c>
      <c r="F7" s="203" t="str">
        <f t="shared" si="5"/>
        <v>2011/12 Medium Term Revenue &amp; Expenditure Framework</v>
      </c>
      <c r="G7" s="203" t="str">
        <f t="shared" si="5"/>
        <v>2012/13 Medium Term Revenue &amp; Expenditure Framework</v>
      </c>
      <c r="H7" s="203" t="str">
        <f t="shared" si="5"/>
        <v>2013/14 Medium Term Revenue &amp; Expenditure Framework</v>
      </c>
      <c r="I7" s="203" t="str">
        <f t="shared" si="5"/>
        <v>2014/15 Medium Term Revenue &amp; Expenditure Framework</v>
      </c>
      <c r="J7" s="203" t="str">
        <f t="shared" si="5"/>
        <v>2015/16 Medium Term Revenue &amp; Expenditure Framework</v>
      </c>
      <c r="K7" s="203" t="str">
        <f t="shared" si="5"/>
        <v>2016/17 Medium Term Revenue &amp; Expenditure Framework</v>
      </c>
      <c r="L7" s="203" t="str">
        <f t="shared" si="5"/>
        <v>2017/18 Medium Term Revenue &amp; Expenditure Framework</v>
      </c>
      <c r="M7" s="203" t="str">
        <f t="shared" si="5"/>
        <v>2018/19 Medium Term Revenue &amp; Expenditure Framework</v>
      </c>
      <c r="N7" s="203" t="str">
        <f t="shared" si="5"/>
        <v>2019/20 Medium Term Revenue &amp; Expenditure Framework</v>
      </c>
      <c r="O7" s="203" t="str">
        <f t="shared" si="5"/>
        <v>2020/21 Medium Term Revenue &amp; Expenditure Framework</v>
      </c>
      <c r="R7" s="1" t="s">
        <v>466</v>
      </c>
    </row>
    <row r="8" spans="1:21" x14ac:dyDescent="0.2">
      <c r="A8" s="5" t="str">
        <f>'Template names'!C16</f>
        <v>1st year of MTREF</v>
      </c>
      <c r="B8" s="1" t="s">
        <v>467</v>
      </c>
      <c r="C8" s="1" t="s">
        <v>468</v>
      </c>
      <c r="D8" s="1" t="s">
        <v>469</v>
      </c>
      <c r="E8" s="203" t="str">
        <f t="shared" ref="E8:O8" si="6">"Budget Year "&amp;E1&amp;"/"&amp;RIGHT(E1,2)+1</f>
        <v>Budget Year 2010/11</v>
      </c>
      <c r="F8" s="203" t="str">
        <f t="shared" si="6"/>
        <v>Budget Year 2011/12</v>
      </c>
      <c r="G8" s="203" t="str">
        <f t="shared" si="6"/>
        <v>Budget Year 2012/13</v>
      </c>
      <c r="H8" s="203" t="str">
        <f t="shared" si="6"/>
        <v>Budget Year 2013/14</v>
      </c>
      <c r="I8" s="203" t="str">
        <f t="shared" si="6"/>
        <v>Budget Year 2014/15</v>
      </c>
      <c r="J8" s="203" t="str">
        <f t="shared" si="6"/>
        <v>Budget Year 2015/16</v>
      </c>
      <c r="K8" s="203" t="str">
        <f t="shared" si="6"/>
        <v>Budget Year 2016/17</v>
      </c>
      <c r="L8" s="203" t="str">
        <f t="shared" si="6"/>
        <v>Budget Year 2017/18</v>
      </c>
      <c r="M8" s="203" t="str">
        <f t="shared" si="6"/>
        <v>Budget Year 2018/19</v>
      </c>
      <c r="N8" s="203" t="str">
        <f t="shared" si="6"/>
        <v>Budget Year 2019/20</v>
      </c>
      <c r="O8" s="203" t="str">
        <f t="shared" si="6"/>
        <v>Budget Year 2020/21</v>
      </c>
    </row>
    <row r="9" spans="1:21" x14ac:dyDescent="0.2">
      <c r="A9" s="5" t="str">
        <f>'Template names'!C17</f>
        <v>2nd year of MTREF</v>
      </c>
      <c r="B9" s="1" t="s">
        <v>470</v>
      </c>
      <c r="C9" s="1" t="s">
        <v>471</v>
      </c>
      <c r="D9" s="1" t="s">
        <v>472</v>
      </c>
      <c r="E9" s="203" t="str">
        <f t="shared" ref="E9:O9" si="7">"Budget Year +1 "&amp;E1+1&amp;"/"&amp;RIGHT(E1,2)+2</f>
        <v>Budget Year +1 2011/12</v>
      </c>
      <c r="F9" s="203" t="str">
        <f t="shared" si="7"/>
        <v>Budget Year +1 2012/13</v>
      </c>
      <c r="G9" s="203" t="str">
        <f t="shared" si="7"/>
        <v>Budget Year +1 2013/14</v>
      </c>
      <c r="H9" s="203" t="str">
        <f t="shared" si="7"/>
        <v>Budget Year +1 2014/15</v>
      </c>
      <c r="I9" s="203" t="str">
        <f t="shared" si="7"/>
        <v>Budget Year +1 2015/16</v>
      </c>
      <c r="J9" s="203" t="str">
        <f t="shared" si="7"/>
        <v>Budget Year +1 2016/17</v>
      </c>
      <c r="K9" s="203" t="str">
        <f t="shared" si="7"/>
        <v>Budget Year +1 2017/18</v>
      </c>
      <c r="L9" s="203" t="str">
        <f t="shared" si="7"/>
        <v>Budget Year +1 2018/19</v>
      </c>
      <c r="M9" s="203" t="str">
        <f t="shared" si="7"/>
        <v>Budget Year +1 2019/20</v>
      </c>
      <c r="N9" s="203" t="str">
        <f t="shared" si="7"/>
        <v>Budget Year +1 2020/21</v>
      </c>
      <c r="O9" s="203" t="str">
        <f t="shared" si="7"/>
        <v>Budget Year +1 2021/22</v>
      </c>
      <c r="R9" s="205"/>
    </row>
    <row r="10" spans="1:21" x14ac:dyDescent="0.2">
      <c r="A10" s="5" t="str">
        <f>'Template names'!C18</f>
        <v>3rd year of MTREF</v>
      </c>
      <c r="B10" s="1" t="s">
        <v>473</v>
      </c>
      <c r="C10" s="1" t="s">
        <v>474</v>
      </c>
      <c r="D10" s="1" t="s">
        <v>475</v>
      </c>
      <c r="E10" s="203" t="str">
        <f t="shared" ref="E10:O10" si="8">"Budget Year +2 "&amp;E1+2&amp;"/"&amp;RIGHT(E1,2)+3</f>
        <v>Budget Year +2 2012/13</v>
      </c>
      <c r="F10" s="203" t="str">
        <f t="shared" si="8"/>
        <v>Budget Year +2 2013/14</v>
      </c>
      <c r="G10" s="203" t="str">
        <f t="shared" si="8"/>
        <v>Budget Year +2 2014/15</v>
      </c>
      <c r="H10" s="203" t="str">
        <f t="shared" si="8"/>
        <v>Budget Year +2 2015/16</v>
      </c>
      <c r="I10" s="203" t="str">
        <f t="shared" si="8"/>
        <v>Budget Year +2 2016/17</v>
      </c>
      <c r="J10" s="203" t="str">
        <f t="shared" si="8"/>
        <v>Budget Year +2 2017/18</v>
      </c>
      <c r="K10" s="203" t="str">
        <f t="shared" si="8"/>
        <v>Budget Year +2 2018/19</v>
      </c>
      <c r="L10" s="203" t="str">
        <f t="shared" si="8"/>
        <v>Budget Year +2 2019/20</v>
      </c>
      <c r="M10" s="203" t="str">
        <f t="shared" si="8"/>
        <v>Budget Year +2 2020/21</v>
      </c>
      <c r="N10" s="203" t="str">
        <f t="shared" si="8"/>
        <v>Budget Year +2 2021/22</v>
      </c>
      <c r="O10" s="203" t="str">
        <f t="shared" si="8"/>
        <v>Budget Year +2 2022/23</v>
      </c>
    </row>
    <row r="11" spans="1:21" x14ac:dyDescent="0.2">
      <c r="A11" s="5" t="str">
        <f>'Template names'!C19</f>
        <v>1st yr of long term forecast</v>
      </c>
      <c r="B11" s="1" t="s">
        <v>218</v>
      </c>
      <c r="C11" s="1" t="s">
        <v>219</v>
      </c>
      <c r="D11" s="1" t="s">
        <v>220</v>
      </c>
      <c r="E11" s="203" t="str">
        <f t="shared" ref="E11:O11" si="9">"Forecast "&amp;E1+3&amp;"/"&amp;RIGHT(E1,2)+4</f>
        <v>Forecast 2013/14</v>
      </c>
      <c r="F11" s="203" t="str">
        <f t="shared" si="9"/>
        <v>Forecast 2014/15</v>
      </c>
      <c r="G11" s="203" t="str">
        <f t="shared" si="9"/>
        <v>Forecast 2015/16</v>
      </c>
      <c r="H11" s="203" t="str">
        <f t="shared" si="9"/>
        <v>Forecast 2016/17</v>
      </c>
      <c r="I11" s="203" t="str">
        <f t="shared" si="9"/>
        <v>Forecast 2017/18</v>
      </c>
      <c r="J11" s="203" t="str">
        <f t="shared" si="9"/>
        <v>Forecast 2018/19</v>
      </c>
      <c r="K11" s="203" t="str">
        <f t="shared" si="9"/>
        <v>Forecast 2019/20</v>
      </c>
      <c r="L11" s="203" t="str">
        <f t="shared" si="9"/>
        <v>Forecast 2020/21</v>
      </c>
      <c r="M11" s="203" t="str">
        <f t="shared" si="9"/>
        <v>Forecast 2021/22</v>
      </c>
      <c r="N11" s="203" t="str">
        <f t="shared" si="9"/>
        <v>Forecast 2022/23</v>
      </c>
      <c r="O11" s="203" t="str">
        <f t="shared" si="9"/>
        <v>Forecast 2023/24</v>
      </c>
    </row>
    <row r="12" spans="1:21" x14ac:dyDescent="0.2">
      <c r="A12" s="5" t="str">
        <f>'Template names'!C20</f>
        <v>Next yr of long term forecast</v>
      </c>
      <c r="B12" s="1" t="s">
        <v>219</v>
      </c>
      <c r="C12" s="1" t="s">
        <v>220</v>
      </c>
      <c r="D12" s="1" t="s">
        <v>221</v>
      </c>
      <c r="E12" s="203" t="str">
        <f t="shared" ref="E12:O12" si="10">"Forecast "&amp;E1+4&amp;"/"&amp;RIGHT(E1,2)+5</f>
        <v>Forecast 2014/15</v>
      </c>
      <c r="F12" s="203" t="str">
        <f t="shared" si="10"/>
        <v>Forecast 2015/16</v>
      </c>
      <c r="G12" s="203" t="str">
        <f t="shared" si="10"/>
        <v>Forecast 2016/17</v>
      </c>
      <c r="H12" s="203" t="str">
        <f t="shared" si="10"/>
        <v>Forecast 2017/18</v>
      </c>
      <c r="I12" s="203" t="str">
        <f t="shared" si="10"/>
        <v>Forecast 2018/19</v>
      </c>
      <c r="J12" s="203" t="str">
        <f t="shared" si="10"/>
        <v>Forecast 2019/20</v>
      </c>
      <c r="K12" s="203" t="str">
        <f t="shared" si="10"/>
        <v>Forecast 2020/21</v>
      </c>
      <c r="L12" s="203" t="str">
        <f t="shared" si="10"/>
        <v>Forecast 2021/22</v>
      </c>
      <c r="M12" s="203" t="str">
        <f t="shared" si="10"/>
        <v>Forecast 2022/23</v>
      </c>
      <c r="N12" s="203" t="str">
        <f t="shared" si="10"/>
        <v>Forecast 2023/24</v>
      </c>
      <c r="O12" s="203" t="str">
        <f t="shared" si="10"/>
        <v>Forecast 2024/25</v>
      </c>
    </row>
    <row r="13" spans="1:21" x14ac:dyDescent="0.2">
      <c r="A13" s="5" t="str">
        <f>'Template names'!C21</f>
        <v>Next yr of long term forecast</v>
      </c>
      <c r="B13" s="1" t="s">
        <v>220</v>
      </c>
      <c r="C13" s="1" t="s">
        <v>221</v>
      </c>
      <c r="D13" s="1" t="s">
        <v>95</v>
      </c>
      <c r="E13" s="203" t="str">
        <f t="shared" ref="E13:O13" si="11">"Forecast "&amp;E1+5&amp;"/"&amp;RIGHT(E1,2)+6</f>
        <v>Forecast 2015/16</v>
      </c>
      <c r="F13" s="203" t="str">
        <f t="shared" si="11"/>
        <v>Forecast 2016/17</v>
      </c>
      <c r="G13" s="203" t="str">
        <f t="shared" si="11"/>
        <v>Forecast 2017/18</v>
      </c>
      <c r="H13" s="203" t="str">
        <f t="shared" si="11"/>
        <v>Forecast 2018/19</v>
      </c>
      <c r="I13" s="203" t="str">
        <f t="shared" si="11"/>
        <v>Forecast 2019/20</v>
      </c>
      <c r="J13" s="203" t="str">
        <f t="shared" si="11"/>
        <v>Forecast 2020/21</v>
      </c>
      <c r="K13" s="203" t="str">
        <f t="shared" si="11"/>
        <v>Forecast 2021/22</v>
      </c>
      <c r="L13" s="203" t="str">
        <f t="shared" si="11"/>
        <v>Forecast 2022/23</v>
      </c>
      <c r="M13" s="203" t="str">
        <f t="shared" si="11"/>
        <v>Forecast 2023/24</v>
      </c>
      <c r="N13" s="203" t="str">
        <f t="shared" si="11"/>
        <v>Forecast 2024/25</v>
      </c>
      <c r="O13" s="203" t="str">
        <f t="shared" si="11"/>
        <v>Forecast 2025/26</v>
      </c>
    </row>
    <row r="14" spans="1:21" x14ac:dyDescent="0.2">
      <c r="A14" s="5" t="str">
        <f>'Template names'!C22</f>
        <v>Next yr of long term forecast</v>
      </c>
      <c r="B14" s="1" t="s">
        <v>221</v>
      </c>
      <c r="C14" s="1" t="s">
        <v>95</v>
      </c>
      <c r="D14" s="1" t="s">
        <v>96</v>
      </c>
      <c r="E14" s="203" t="str">
        <f t="shared" ref="E14:O14" si="12">"Forecast "&amp;E1+6&amp;"/"&amp;RIGHT(E1,2)+7</f>
        <v>Forecast 2016/17</v>
      </c>
      <c r="F14" s="203" t="str">
        <f t="shared" si="12"/>
        <v>Forecast 2017/18</v>
      </c>
      <c r="G14" s="203" t="str">
        <f t="shared" si="12"/>
        <v>Forecast 2018/19</v>
      </c>
      <c r="H14" s="203" t="str">
        <f t="shared" si="12"/>
        <v>Forecast 2019/20</v>
      </c>
      <c r="I14" s="203" t="str">
        <f t="shared" si="12"/>
        <v>Forecast 2020/21</v>
      </c>
      <c r="J14" s="203" t="str">
        <f t="shared" si="12"/>
        <v>Forecast 2021/22</v>
      </c>
      <c r="K14" s="203" t="str">
        <f t="shared" si="12"/>
        <v>Forecast 2022/23</v>
      </c>
      <c r="L14" s="203" t="str">
        <f t="shared" si="12"/>
        <v>Forecast 2023/24</v>
      </c>
      <c r="M14" s="203" t="str">
        <f t="shared" si="12"/>
        <v>Forecast 2024/25</v>
      </c>
      <c r="N14" s="203" t="str">
        <f t="shared" si="12"/>
        <v>Forecast 2025/26</v>
      </c>
      <c r="O14" s="203" t="str">
        <f t="shared" si="12"/>
        <v>Forecast 2026/27</v>
      </c>
    </row>
    <row r="15" spans="1:21" x14ac:dyDescent="0.2">
      <c r="A15" s="5" t="str">
        <f>'Template names'!C23</f>
        <v>Next yr of long term forecast</v>
      </c>
      <c r="B15" s="1" t="s">
        <v>95</v>
      </c>
      <c r="C15" s="1" t="s">
        <v>96</v>
      </c>
      <c r="D15" s="1" t="s">
        <v>97</v>
      </c>
      <c r="E15" s="203" t="str">
        <f t="shared" ref="E15:O15" si="13">"Forecast "&amp;E1+7&amp;"/"&amp;RIGHT(E1,2)+8</f>
        <v>Forecast 2017/18</v>
      </c>
      <c r="F15" s="203" t="str">
        <f t="shared" si="13"/>
        <v>Forecast 2018/19</v>
      </c>
      <c r="G15" s="203" t="str">
        <f t="shared" si="13"/>
        <v>Forecast 2019/20</v>
      </c>
      <c r="H15" s="203" t="str">
        <f t="shared" si="13"/>
        <v>Forecast 2020/21</v>
      </c>
      <c r="I15" s="203" t="str">
        <f t="shared" si="13"/>
        <v>Forecast 2021/22</v>
      </c>
      <c r="J15" s="203" t="str">
        <f t="shared" si="13"/>
        <v>Forecast 2022/23</v>
      </c>
      <c r="K15" s="203" t="str">
        <f t="shared" si="13"/>
        <v>Forecast 2023/24</v>
      </c>
      <c r="L15" s="203" t="str">
        <f t="shared" si="13"/>
        <v>Forecast 2024/25</v>
      </c>
      <c r="M15" s="203" t="str">
        <f t="shared" si="13"/>
        <v>Forecast 2025/26</v>
      </c>
      <c r="N15" s="203" t="str">
        <f t="shared" si="13"/>
        <v>Forecast 2026/27</v>
      </c>
      <c r="O15" s="203" t="str">
        <f t="shared" si="13"/>
        <v>Forecast 2027/28</v>
      </c>
    </row>
    <row r="16" spans="1:21" x14ac:dyDescent="0.2">
      <c r="A16" s="5" t="str">
        <f>'Template names'!C24</f>
        <v>Next yr of long term forecast</v>
      </c>
      <c r="B16" s="1" t="s">
        <v>96</v>
      </c>
      <c r="C16" s="1" t="s">
        <v>97</v>
      </c>
      <c r="D16" s="1" t="s">
        <v>98</v>
      </c>
      <c r="E16" s="203" t="str">
        <f t="shared" ref="E16:O16" si="14">"Forecast "&amp;E1+8&amp;"/"&amp;RIGHT(E1,2)+9</f>
        <v>Forecast 2018/19</v>
      </c>
      <c r="F16" s="203" t="str">
        <f t="shared" si="14"/>
        <v>Forecast 2019/20</v>
      </c>
      <c r="G16" s="203" t="str">
        <f t="shared" si="14"/>
        <v>Forecast 2020/21</v>
      </c>
      <c r="H16" s="203" t="str">
        <f t="shared" si="14"/>
        <v>Forecast 2021/22</v>
      </c>
      <c r="I16" s="203" t="str">
        <f t="shared" si="14"/>
        <v>Forecast 2022/23</v>
      </c>
      <c r="J16" s="203" t="str">
        <f t="shared" si="14"/>
        <v>Forecast 2023/24</v>
      </c>
      <c r="K16" s="203" t="str">
        <f t="shared" si="14"/>
        <v>Forecast 2024/25</v>
      </c>
      <c r="L16" s="203" t="str">
        <f t="shared" si="14"/>
        <v>Forecast 2025/26</v>
      </c>
      <c r="M16" s="203" t="str">
        <f t="shared" si="14"/>
        <v>Forecast 2026/27</v>
      </c>
      <c r="N16" s="203" t="str">
        <f t="shared" si="14"/>
        <v>Forecast 2027/28</v>
      </c>
      <c r="O16" s="203" t="str">
        <f t="shared" si="14"/>
        <v>Forecast 2028/29</v>
      </c>
    </row>
    <row r="17" spans="1:15" x14ac:dyDescent="0.2">
      <c r="A17" s="5" t="str">
        <f>'Template names'!C25</f>
        <v>Next yr of long term forecast</v>
      </c>
      <c r="B17" s="1" t="s">
        <v>97</v>
      </c>
      <c r="C17" s="1" t="s">
        <v>98</v>
      </c>
      <c r="D17" s="1" t="s">
        <v>13</v>
      </c>
      <c r="E17" s="203" t="str">
        <f t="shared" ref="E17:O17" si="15">"Forecast "&amp;E1+9&amp;"/"&amp;RIGHT(E1,2)+10</f>
        <v>Forecast 2019/20</v>
      </c>
      <c r="F17" s="203" t="str">
        <f t="shared" si="15"/>
        <v>Forecast 2020/21</v>
      </c>
      <c r="G17" s="203" t="str">
        <f t="shared" si="15"/>
        <v>Forecast 2021/22</v>
      </c>
      <c r="H17" s="203" t="str">
        <f t="shared" si="15"/>
        <v>Forecast 2022/23</v>
      </c>
      <c r="I17" s="203" t="str">
        <f t="shared" si="15"/>
        <v>Forecast 2023/24</v>
      </c>
      <c r="J17" s="203" t="str">
        <f t="shared" si="15"/>
        <v>Forecast 2024/25</v>
      </c>
      <c r="K17" s="203" t="str">
        <f t="shared" si="15"/>
        <v>Forecast 2025/26</v>
      </c>
      <c r="L17" s="203" t="str">
        <f t="shared" si="15"/>
        <v>Forecast 2026/27</v>
      </c>
      <c r="M17" s="203" t="str">
        <f t="shared" si="15"/>
        <v>Forecast 2027/28</v>
      </c>
      <c r="N17" s="203" t="str">
        <f t="shared" si="15"/>
        <v>Forecast 2028/29</v>
      </c>
      <c r="O17" s="203" t="str">
        <f t="shared" si="15"/>
        <v>Forecast 2029/30</v>
      </c>
    </row>
    <row r="18" spans="1:15" x14ac:dyDescent="0.2">
      <c r="A18" s="5" t="str">
        <f>'Template names'!C26</f>
        <v>Next yr of long term forecast</v>
      </c>
      <c r="B18" s="1" t="s">
        <v>98</v>
      </c>
      <c r="C18" s="1" t="s">
        <v>13</v>
      </c>
      <c r="D18" s="1" t="s">
        <v>12</v>
      </c>
      <c r="E18" s="203" t="str">
        <f t="shared" ref="E18:O18" si="16">"Forecast "&amp;E1+10&amp;"/"&amp;RIGHT(E1,2)+11</f>
        <v>Forecast 2020/21</v>
      </c>
      <c r="F18" s="203" t="str">
        <f t="shared" si="16"/>
        <v>Forecast 2021/22</v>
      </c>
      <c r="G18" s="203" t="str">
        <f t="shared" si="16"/>
        <v>Forecast 2022/23</v>
      </c>
      <c r="H18" s="203" t="str">
        <f t="shared" si="16"/>
        <v>Forecast 2023/24</v>
      </c>
      <c r="I18" s="203" t="str">
        <f t="shared" si="16"/>
        <v>Forecast 2024/25</v>
      </c>
      <c r="J18" s="203" t="str">
        <f t="shared" si="16"/>
        <v>Forecast 2025/26</v>
      </c>
      <c r="K18" s="203" t="str">
        <f t="shared" si="16"/>
        <v>Forecast 2026/27</v>
      </c>
      <c r="L18" s="203" t="str">
        <f t="shared" si="16"/>
        <v>Forecast 2027/28</v>
      </c>
      <c r="M18" s="203" t="str">
        <f t="shared" si="16"/>
        <v>Forecast 2028/29</v>
      </c>
      <c r="N18" s="203" t="str">
        <f t="shared" si="16"/>
        <v>Forecast 2029/30</v>
      </c>
      <c r="O18" s="203" t="str">
        <f t="shared" si="16"/>
        <v>Forecast 2030/31</v>
      </c>
    </row>
    <row r="19" spans="1:15" x14ac:dyDescent="0.2">
      <c r="A19" s="5" t="str">
        <f>'Template names'!C27</f>
        <v>Next yr of long term forecast</v>
      </c>
      <c r="B19" s="1" t="s">
        <v>13</v>
      </c>
      <c r="C19" s="1" t="s">
        <v>12</v>
      </c>
      <c r="D19" s="1" t="s">
        <v>99</v>
      </c>
      <c r="E19" s="203" t="str">
        <f t="shared" ref="E19:O19" si="17">"Forecast "&amp;E1+11&amp;"/"&amp;RIGHT(E1,2)+12</f>
        <v>Forecast 2021/22</v>
      </c>
      <c r="F19" s="203" t="str">
        <f t="shared" si="17"/>
        <v>Forecast 2022/23</v>
      </c>
      <c r="G19" s="203" t="str">
        <f t="shared" si="17"/>
        <v>Forecast 2023/24</v>
      </c>
      <c r="H19" s="203" t="str">
        <f t="shared" si="17"/>
        <v>Forecast 2024/25</v>
      </c>
      <c r="I19" s="203" t="str">
        <f t="shared" si="17"/>
        <v>Forecast 2025/26</v>
      </c>
      <c r="J19" s="203" t="str">
        <f t="shared" si="17"/>
        <v>Forecast 2026/27</v>
      </c>
      <c r="K19" s="203" t="str">
        <f t="shared" si="17"/>
        <v>Forecast 2027/28</v>
      </c>
      <c r="L19" s="203" t="str">
        <f t="shared" si="17"/>
        <v>Forecast 2028/29</v>
      </c>
      <c r="M19" s="203" t="str">
        <f t="shared" si="17"/>
        <v>Forecast 2029/30</v>
      </c>
      <c r="N19" s="203" t="str">
        <f t="shared" si="17"/>
        <v>Forecast 2030/31</v>
      </c>
      <c r="O19" s="203" t="str">
        <f t="shared" si="17"/>
        <v>Forecast 2031/32</v>
      </c>
    </row>
    <row r="20" spans="1:15" x14ac:dyDescent="0.2">
      <c r="A20" s="5" t="str">
        <f>'Template names'!C28</f>
        <v>Next yr of long term forecast</v>
      </c>
      <c r="B20" s="1" t="s">
        <v>12</v>
      </c>
      <c r="C20" s="1" t="s">
        <v>99</v>
      </c>
      <c r="D20" s="1" t="s">
        <v>373</v>
      </c>
      <c r="E20" s="203" t="str">
        <f t="shared" ref="E20:O20" si="18">"Forecast "&amp;E1+12&amp;"/"&amp;RIGHT(E1,2)+13</f>
        <v>Forecast 2022/23</v>
      </c>
      <c r="F20" s="203" t="str">
        <f t="shared" si="18"/>
        <v>Forecast 2023/24</v>
      </c>
      <c r="G20" s="203" t="str">
        <f t="shared" si="18"/>
        <v>Forecast 2024/25</v>
      </c>
      <c r="H20" s="203" t="str">
        <f t="shared" si="18"/>
        <v>Forecast 2025/26</v>
      </c>
      <c r="I20" s="203" t="str">
        <f t="shared" si="18"/>
        <v>Forecast 2026/27</v>
      </c>
      <c r="J20" s="203" t="str">
        <f t="shared" si="18"/>
        <v>Forecast 2027/28</v>
      </c>
      <c r="K20" s="203" t="str">
        <f t="shared" si="18"/>
        <v>Forecast 2028/29</v>
      </c>
      <c r="L20" s="203" t="str">
        <f t="shared" si="18"/>
        <v>Forecast 2029/30</v>
      </c>
      <c r="M20" s="203" t="str">
        <f t="shared" si="18"/>
        <v>Forecast 2030/31</v>
      </c>
      <c r="N20" s="203" t="str">
        <f t="shared" si="18"/>
        <v>Forecast 2031/32</v>
      </c>
      <c r="O20" s="203" t="str">
        <f t="shared" si="18"/>
        <v>Forecast 2032/33</v>
      </c>
    </row>
    <row r="21" spans="1:15" x14ac:dyDescent="0.2">
      <c r="A21" s="5" t="str">
        <f>'Template names'!C29</f>
        <v>Next yr of long term forecast</v>
      </c>
      <c r="B21" s="1" t="s">
        <v>99</v>
      </c>
      <c r="C21" s="1" t="s">
        <v>373</v>
      </c>
      <c r="D21" s="1" t="s">
        <v>476</v>
      </c>
      <c r="E21" s="203" t="str">
        <f t="shared" ref="E21:O21" si="19">"Forecast "&amp;E1+13&amp;"/"&amp;RIGHT(E1,2)+14</f>
        <v>Forecast 2023/24</v>
      </c>
      <c r="F21" s="203" t="str">
        <f t="shared" si="19"/>
        <v>Forecast 2024/25</v>
      </c>
      <c r="G21" s="203" t="str">
        <f t="shared" si="19"/>
        <v>Forecast 2025/26</v>
      </c>
      <c r="H21" s="203" t="str">
        <f t="shared" si="19"/>
        <v>Forecast 2026/27</v>
      </c>
      <c r="I21" s="203" t="str">
        <f t="shared" si="19"/>
        <v>Forecast 2027/28</v>
      </c>
      <c r="J21" s="203" t="str">
        <f t="shared" si="19"/>
        <v>Forecast 2028/29</v>
      </c>
      <c r="K21" s="203" t="str">
        <f t="shared" si="19"/>
        <v>Forecast 2029/30</v>
      </c>
      <c r="L21" s="203" t="str">
        <f t="shared" si="19"/>
        <v>Forecast 2030/31</v>
      </c>
      <c r="M21" s="203" t="str">
        <f t="shared" si="19"/>
        <v>Forecast 2031/32</v>
      </c>
      <c r="N21" s="203" t="str">
        <f t="shared" si="19"/>
        <v>Forecast 2032/33</v>
      </c>
      <c r="O21" s="203" t="str">
        <f t="shared" si="19"/>
        <v>Forecast 2033/34</v>
      </c>
    </row>
    <row r="22" spans="1:15" x14ac:dyDescent="0.2">
      <c r="A22" s="5" t="str">
        <f>'Template names'!C30</f>
        <v>Next yr of long term forecast</v>
      </c>
      <c r="B22" s="1" t="s">
        <v>373</v>
      </c>
      <c r="C22" s="1" t="s">
        <v>476</v>
      </c>
      <c r="D22" s="1" t="s">
        <v>477</v>
      </c>
      <c r="E22" s="203" t="str">
        <f t="shared" ref="E22:O22" si="20">"Forecast "&amp;E1+14&amp;"/"&amp;RIGHT(E1,2)+15</f>
        <v>Forecast 2024/25</v>
      </c>
      <c r="F22" s="203" t="str">
        <f t="shared" si="20"/>
        <v>Forecast 2025/26</v>
      </c>
      <c r="G22" s="203" t="str">
        <f t="shared" si="20"/>
        <v>Forecast 2026/27</v>
      </c>
      <c r="H22" s="203" t="str">
        <f t="shared" si="20"/>
        <v>Forecast 2027/28</v>
      </c>
      <c r="I22" s="203" t="str">
        <f t="shared" si="20"/>
        <v>Forecast 2028/29</v>
      </c>
      <c r="J22" s="203" t="str">
        <f t="shared" si="20"/>
        <v>Forecast 2029/30</v>
      </c>
      <c r="K22" s="203" t="str">
        <f t="shared" si="20"/>
        <v>Forecast 2030/31</v>
      </c>
      <c r="L22" s="203" t="str">
        <f t="shared" si="20"/>
        <v>Forecast 2031/32</v>
      </c>
      <c r="M22" s="203" t="str">
        <f t="shared" si="20"/>
        <v>Forecast 2032/33</v>
      </c>
      <c r="N22" s="203" t="str">
        <f t="shared" si="20"/>
        <v>Forecast 2033/34</v>
      </c>
      <c r="O22" s="203" t="str">
        <f t="shared" si="20"/>
        <v>Forecast 2034/35</v>
      </c>
    </row>
    <row r="23" spans="1:15" x14ac:dyDescent="0.2">
      <c r="A23" s="5" t="s">
        <v>478</v>
      </c>
      <c r="B23" s="1" t="s">
        <v>265</v>
      </c>
      <c r="C23" s="1" t="s">
        <v>479</v>
      </c>
      <c r="D23" s="1" t="s">
        <v>480</v>
      </c>
      <c r="E23" s="203" t="str">
        <f t="shared" ref="E23:O23" si="21">"Annual target " &amp; E1&amp;"/"&amp;RIGHT(E1,2)+1</f>
        <v>Annual target 2010/11</v>
      </c>
      <c r="F23" s="203" t="str">
        <f t="shared" si="21"/>
        <v>Annual target 2011/12</v>
      </c>
      <c r="G23" s="203" t="str">
        <f t="shared" si="21"/>
        <v>Annual target 2012/13</v>
      </c>
      <c r="H23" s="203" t="str">
        <f t="shared" si="21"/>
        <v>Annual target 2013/14</v>
      </c>
      <c r="I23" s="203" t="str">
        <f t="shared" si="21"/>
        <v>Annual target 2014/15</v>
      </c>
      <c r="J23" s="203" t="str">
        <f t="shared" si="21"/>
        <v>Annual target 2015/16</v>
      </c>
      <c r="K23" s="203" t="str">
        <f t="shared" si="21"/>
        <v>Annual target 2016/17</v>
      </c>
      <c r="L23" s="203" t="str">
        <f t="shared" si="21"/>
        <v>Annual target 2017/18</v>
      </c>
      <c r="M23" s="203" t="str">
        <f t="shared" si="21"/>
        <v>Annual target 2018/19</v>
      </c>
      <c r="N23" s="203" t="str">
        <f t="shared" si="21"/>
        <v>Annual target 2019/20</v>
      </c>
      <c r="O23" s="203" t="str">
        <f t="shared" si="21"/>
        <v>Annual target 2020/21</v>
      </c>
    </row>
    <row r="24" spans="1:15" x14ac:dyDescent="0.2">
      <c r="A24" s="206" t="s">
        <v>478</v>
      </c>
      <c r="B24" s="7" t="s">
        <v>266</v>
      </c>
      <c r="C24" s="7" t="s">
        <v>481</v>
      </c>
      <c r="D24" s="7" t="s">
        <v>482</v>
      </c>
      <c r="E24" s="204" t="str">
        <f t="shared" ref="E24:O24" si="22">"Revised target "&amp; E1&amp;"/"&amp;RIGHT(E1,2)+1</f>
        <v>Revised target 2010/11</v>
      </c>
      <c r="F24" s="204" t="str">
        <f t="shared" si="22"/>
        <v>Revised target 2011/12</v>
      </c>
      <c r="G24" s="204" t="str">
        <f t="shared" si="22"/>
        <v>Revised target 2012/13</v>
      </c>
      <c r="H24" s="204" t="str">
        <f t="shared" si="22"/>
        <v>Revised target 2013/14</v>
      </c>
      <c r="I24" s="204" t="str">
        <f t="shared" si="22"/>
        <v>Revised target 2014/15</v>
      </c>
      <c r="J24" s="204" t="str">
        <f t="shared" si="22"/>
        <v>Revised target 2015/16</v>
      </c>
      <c r="K24" s="204" t="str">
        <f t="shared" si="22"/>
        <v>Revised target 2016/17</v>
      </c>
      <c r="L24" s="204" t="str">
        <f t="shared" si="22"/>
        <v>Revised target 2017/18</v>
      </c>
      <c r="M24" s="204" t="str">
        <f t="shared" si="22"/>
        <v>Revised target 2018/19</v>
      </c>
      <c r="N24" s="204" t="str">
        <f t="shared" si="22"/>
        <v>Revised target 2019/20</v>
      </c>
      <c r="O24" s="204" t="str">
        <f t="shared" si="22"/>
        <v>Revised target 2020/21</v>
      </c>
    </row>
    <row r="25" spans="1:15" ht="18" x14ac:dyDescent="0.25">
      <c r="A25" s="207" t="s">
        <v>493</v>
      </c>
    </row>
    <row r="27" spans="1:15" x14ac:dyDescent="0.2">
      <c r="A27" s="1" t="s">
        <v>561</v>
      </c>
      <c r="B27" s="1">
        <v>128</v>
      </c>
    </row>
    <row r="28" spans="1:15" x14ac:dyDescent="0.2">
      <c r="A28" s="1" t="s">
        <v>562</v>
      </c>
      <c r="B28" s="1" t="str">
        <f>INDEX(B29:B312,B27,1)</f>
        <v>DC43 Harry Gwala</v>
      </c>
    </row>
    <row r="29" spans="1:15" ht="12.75" x14ac:dyDescent="0.2">
      <c r="B29" t="s">
        <v>563</v>
      </c>
      <c r="C29" s="1" t="s">
        <v>564</v>
      </c>
    </row>
    <row r="30" spans="1:15" ht="12.75" x14ac:dyDescent="0.2">
      <c r="B30" s="505" t="s">
        <v>803</v>
      </c>
      <c r="C30" s="505" t="s">
        <v>1131</v>
      </c>
    </row>
    <row r="31" spans="1:15" ht="12.75" x14ac:dyDescent="0.2">
      <c r="B31" s="505" t="s">
        <v>804</v>
      </c>
      <c r="C31" s="506" t="s">
        <v>1131</v>
      </c>
    </row>
    <row r="32" spans="1:15" ht="12.75" x14ac:dyDescent="0.2">
      <c r="B32" s="505" t="s">
        <v>984</v>
      </c>
      <c r="C32" s="505" t="s">
        <v>1131</v>
      </c>
    </row>
    <row r="33" spans="2:3" ht="12.75" x14ac:dyDescent="0.2">
      <c r="B33" s="505" t="s">
        <v>599</v>
      </c>
      <c r="C33" s="505" t="s">
        <v>1131</v>
      </c>
    </row>
    <row r="34" spans="2:3" ht="12.75" x14ac:dyDescent="0.2">
      <c r="B34" s="505" t="s">
        <v>600</v>
      </c>
      <c r="C34" s="505" t="s">
        <v>1131</v>
      </c>
    </row>
    <row r="35" spans="2:3" ht="12.75" x14ac:dyDescent="0.2">
      <c r="B35" s="505" t="s">
        <v>601</v>
      </c>
      <c r="C35" s="505" t="s">
        <v>1131</v>
      </c>
    </row>
    <row r="36" spans="2:3" ht="12.75" x14ac:dyDescent="0.2">
      <c r="B36" s="505" t="s">
        <v>602</v>
      </c>
      <c r="C36" s="505" t="s">
        <v>1131</v>
      </c>
    </row>
    <row r="37" spans="2:3" ht="12.75" x14ac:dyDescent="0.2">
      <c r="B37" s="505" t="s">
        <v>603</v>
      </c>
      <c r="C37" s="506" t="s">
        <v>1131</v>
      </c>
    </row>
    <row r="38" spans="2:3" ht="12.75" x14ac:dyDescent="0.2">
      <c r="B38" s="505" t="s">
        <v>793</v>
      </c>
      <c r="C38" s="505" t="s">
        <v>1131</v>
      </c>
    </row>
    <row r="39" spans="2:3" ht="12.75" x14ac:dyDescent="0.2">
      <c r="B39" s="505" t="s">
        <v>840</v>
      </c>
      <c r="C39" s="505" t="s">
        <v>1131</v>
      </c>
    </row>
    <row r="40" spans="2:3" ht="12.75" x14ac:dyDescent="0.2">
      <c r="B40" s="505" t="s">
        <v>604</v>
      </c>
      <c r="C40" s="505" t="s">
        <v>1131</v>
      </c>
    </row>
    <row r="41" spans="2:3" ht="12.75" x14ac:dyDescent="0.2">
      <c r="B41" s="505" t="s">
        <v>605</v>
      </c>
      <c r="C41" t="s">
        <v>1131</v>
      </c>
    </row>
    <row r="42" spans="2:3" ht="12.75" x14ac:dyDescent="0.2">
      <c r="B42" s="505" t="s">
        <v>606</v>
      </c>
      <c r="C42" t="s">
        <v>1131</v>
      </c>
    </row>
    <row r="43" spans="2:3" ht="12.75" x14ac:dyDescent="0.2">
      <c r="B43" s="505" t="s">
        <v>607</v>
      </c>
      <c r="C43" t="s">
        <v>1131</v>
      </c>
    </row>
    <row r="44" spans="2:3" ht="12.75" x14ac:dyDescent="0.2">
      <c r="B44" s="505" t="s">
        <v>608</v>
      </c>
      <c r="C44" t="s">
        <v>1131</v>
      </c>
    </row>
    <row r="45" spans="2:3" ht="12.75" x14ac:dyDescent="0.2">
      <c r="B45" s="505" t="s">
        <v>844</v>
      </c>
      <c r="C45" t="s">
        <v>1131</v>
      </c>
    </row>
    <row r="46" spans="2:3" ht="12.75" x14ac:dyDescent="0.2">
      <c r="B46" s="505" t="s">
        <v>566</v>
      </c>
      <c r="C46" t="s">
        <v>1131</v>
      </c>
    </row>
    <row r="47" spans="2:3" ht="12.75" x14ac:dyDescent="0.2">
      <c r="B47" s="505" t="s">
        <v>609</v>
      </c>
      <c r="C47" t="s">
        <v>1131</v>
      </c>
    </row>
    <row r="48" spans="2:3" ht="12.75" x14ac:dyDescent="0.2">
      <c r="B48" s="505" t="s">
        <v>610</v>
      </c>
      <c r="C48" t="s">
        <v>1131</v>
      </c>
    </row>
    <row r="49" spans="2:3" ht="12.75" x14ac:dyDescent="0.2">
      <c r="B49" s="505" t="s">
        <v>841</v>
      </c>
      <c r="C49" t="s">
        <v>1131</v>
      </c>
    </row>
    <row r="50" spans="2:3" ht="12.75" x14ac:dyDescent="0.2">
      <c r="B50" s="505" t="s">
        <v>611</v>
      </c>
      <c r="C50" t="s">
        <v>1131</v>
      </c>
    </row>
    <row r="51" spans="2:3" ht="12.75" x14ac:dyDescent="0.2">
      <c r="B51" s="505" t="s">
        <v>612</v>
      </c>
      <c r="C51" s="505" t="s">
        <v>1131</v>
      </c>
    </row>
    <row r="52" spans="2:3" ht="12.75" x14ac:dyDescent="0.2">
      <c r="B52" s="505" t="s">
        <v>845</v>
      </c>
      <c r="C52" s="505" t="s">
        <v>1131</v>
      </c>
    </row>
    <row r="53" spans="2:3" ht="12.75" x14ac:dyDescent="0.2">
      <c r="B53" s="505" t="s">
        <v>567</v>
      </c>
      <c r="C53" s="505" t="s">
        <v>1131</v>
      </c>
    </row>
    <row r="54" spans="2:3" ht="12.75" x14ac:dyDescent="0.2">
      <c r="B54" s="505" t="s">
        <v>613</v>
      </c>
      <c r="C54" s="505" t="s">
        <v>1131</v>
      </c>
    </row>
    <row r="55" spans="2:3" ht="12.75" x14ac:dyDescent="0.2">
      <c r="B55" s="505" t="s">
        <v>614</v>
      </c>
      <c r="C55" s="505" t="s">
        <v>1131</v>
      </c>
    </row>
    <row r="56" spans="2:3" ht="12.75" x14ac:dyDescent="0.2">
      <c r="B56" s="505" t="s">
        <v>846</v>
      </c>
      <c r="C56" s="505" t="s">
        <v>1131</v>
      </c>
    </row>
    <row r="57" spans="2:3" ht="12.75" x14ac:dyDescent="0.2">
      <c r="B57" s="505" t="s">
        <v>791</v>
      </c>
      <c r="C57" s="505" t="s">
        <v>1131</v>
      </c>
    </row>
    <row r="58" spans="2:3" ht="12.75" x14ac:dyDescent="0.2">
      <c r="B58" s="505" t="s">
        <v>615</v>
      </c>
      <c r="C58" t="s">
        <v>1131</v>
      </c>
    </row>
    <row r="59" spans="2:3" ht="12.75" x14ac:dyDescent="0.2">
      <c r="B59" s="505" t="s">
        <v>616</v>
      </c>
      <c r="C59" t="s">
        <v>1131</v>
      </c>
    </row>
    <row r="60" spans="2:3" ht="12.75" x14ac:dyDescent="0.2">
      <c r="B60" s="505" t="s">
        <v>617</v>
      </c>
      <c r="C60" s="505" t="s">
        <v>1131</v>
      </c>
    </row>
    <row r="61" spans="2:3" ht="12.75" x14ac:dyDescent="0.2">
      <c r="B61" s="505" t="s">
        <v>618</v>
      </c>
      <c r="C61" s="505" t="s">
        <v>1131</v>
      </c>
    </row>
    <row r="62" spans="2:3" ht="12.75" x14ac:dyDescent="0.2">
      <c r="B62" s="505" t="s">
        <v>619</v>
      </c>
      <c r="C62" s="505" t="s">
        <v>1131</v>
      </c>
    </row>
    <row r="63" spans="2:3" ht="12.75" x14ac:dyDescent="0.2">
      <c r="B63" s="505" t="s">
        <v>568</v>
      </c>
      <c r="C63" s="505" t="s">
        <v>1131</v>
      </c>
    </row>
    <row r="64" spans="2:3" ht="12.75" x14ac:dyDescent="0.2">
      <c r="B64" s="505" t="s">
        <v>620</v>
      </c>
      <c r="C64" t="s">
        <v>1131</v>
      </c>
    </row>
    <row r="65" spans="2:3" ht="12.75" x14ac:dyDescent="0.2">
      <c r="B65" s="505" t="s">
        <v>621</v>
      </c>
      <c r="C65" s="505" t="s">
        <v>1131</v>
      </c>
    </row>
    <row r="66" spans="2:3" ht="12.75" x14ac:dyDescent="0.2">
      <c r="B66" s="505" t="s">
        <v>805</v>
      </c>
      <c r="C66" s="505" t="s">
        <v>1131</v>
      </c>
    </row>
    <row r="67" spans="2:3" ht="12.75" x14ac:dyDescent="0.2">
      <c r="B67" s="505" t="s">
        <v>806</v>
      </c>
      <c r="C67" s="505" t="s">
        <v>1131</v>
      </c>
    </row>
    <row r="68" spans="2:3" ht="12.75" x14ac:dyDescent="0.2">
      <c r="B68" s="505" t="s">
        <v>594</v>
      </c>
      <c r="C68" s="505" t="s">
        <v>1131</v>
      </c>
    </row>
    <row r="69" spans="2:3" ht="12.75" x14ac:dyDescent="0.2">
      <c r="B69" s="505" t="s">
        <v>807</v>
      </c>
      <c r="C69" s="505" t="s">
        <v>1162</v>
      </c>
    </row>
    <row r="70" spans="2:3" ht="12.75" x14ac:dyDescent="0.2">
      <c r="B70" s="505" t="s">
        <v>622</v>
      </c>
      <c r="C70" s="505" t="s">
        <v>1162</v>
      </c>
    </row>
    <row r="71" spans="2:3" ht="12.75" x14ac:dyDescent="0.2">
      <c r="B71" s="505" t="s">
        <v>623</v>
      </c>
      <c r="C71" s="505" t="s">
        <v>1162</v>
      </c>
    </row>
    <row r="72" spans="2:3" ht="12.75" x14ac:dyDescent="0.2">
      <c r="B72" s="505" t="s">
        <v>624</v>
      </c>
      <c r="C72" s="505" t="s">
        <v>1162</v>
      </c>
    </row>
    <row r="73" spans="2:3" ht="12.75" x14ac:dyDescent="0.2">
      <c r="B73" s="505" t="s">
        <v>569</v>
      </c>
      <c r="C73" s="505" t="s">
        <v>1162</v>
      </c>
    </row>
    <row r="74" spans="2:3" ht="12.75" x14ac:dyDescent="0.2">
      <c r="B74" s="505" t="s">
        <v>625</v>
      </c>
      <c r="C74" s="505" t="s">
        <v>1162</v>
      </c>
    </row>
    <row r="75" spans="2:3" ht="12.75" x14ac:dyDescent="0.2">
      <c r="B75" s="505" t="s">
        <v>626</v>
      </c>
      <c r="C75" s="505" t="s">
        <v>1162</v>
      </c>
    </row>
    <row r="76" spans="2:3" ht="12.75" x14ac:dyDescent="0.2">
      <c r="B76" s="505" t="s">
        <v>627</v>
      </c>
      <c r="C76" s="505" t="s">
        <v>1162</v>
      </c>
    </row>
    <row r="77" spans="2:3" ht="12.75" x14ac:dyDescent="0.2">
      <c r="B77" s="505" t="s">
        <v>628</v>
      </c>
      <c r="C77" s="505" t="s">
        <v>1162</v>
      </c>
    </row>
    <row r="78" spans="2:3" ht="12.75" x14ac:dyDescent="0.2">
      <c r="B78" s="505" t="s">
        <v>629</v>
      </c>
      <c r="C78" s="505" t="s">
        <v>1162</v>
      </c>
    </row>
    <row r="79" spans="2:3" ht="12.75" x14ac:dyDescent="0.2">
      <c r="B79" s="505" t="s">
        <v>570</v>
      </c>
      <c r="C79" s="505" t="s">
        <v>1162</v>
      </c>
    </row>
    <row r="80" spans="2:3" ht="12.75" x14ac:dyDescent="0.2">
      <c r="B80" s="505" t="s">
        <v>630</v>
      </c>
      <c r="C80" s="505" t="s">
        <v>1162</v>
      </c>
    </row>
    <row r="81" spans="2:3" ht="12.75" x14ac:dyDescent="0.2">
      <c r="B81" s="505" t="s">
        <v>631</v>
      </c>
      <c r="C81" s="505" t="s">
        <v>1162</v>
      </c>
    </row>
    <row r="82" spans="2:3" ht="12.75" x14ac:dyDescent="0.2">
      <c r="B82" s="505" t="s">
        <v>632</v>
      </c>
      <c r="C82" s="505" t="s">
        <v>1162</v>
      </c>
    </row>
    <row r="83" spans="2:3" ht="12.75" x14ac:dyDescent="0.2">
      <c r="B83" s="505" t="s">
        <v>633</v>
      </c>
      <c r="C83" s="505" t="s">
        <v>1162</v>
      </c>
    </row>
    <row r="84" spans="2:3" ht="12.75" x14ac:dyDescent="0.2">
      <c r="B84" s="505" t="s">
        <v>634</v>
      </c>
      <c r="C84" s="505" t="s">
        <v>1162</v>
      </c>
    </row>
    <row r="85" spans="2:3" ht="12.75" x14ac:dyDescent="0.2">
      <c r="B85" s="505" t="s">
        <v>808</v>
      </c>
      <c r="C85" s="505" t="s">
        <v>1162</v>
      </c>
    </row>
    <row r="86" spans="2:3" ht="12.75" x14ac:dyDescent="0.2">
      <c r="B86" s="505" t="s">
        <v>571</v>
      </c>
      <c r="C86" s="505" t="s">
        <v>1162</v>
      </c>
    </row>
    <row r="87" spans="2:3" ht="12.75" x14ac:dyDescent="0.2">
      <c r="B87" s="505" t="s">
        <v>635</v>
      </c>
      <c r="C87" s="505" t="s">
        <v>1162</v>
      </c>
    </row>
    <row r="88" spans="2:3" ht="12.75" x14ac:dyDescent="0.2">
      <c r="B88" s="505" t="s">
        <v>636</v>
      </c>
      <c r="C88" s="505" t="s">
        <v>1162</v>
      </c>
    </row>
    <row r="89" spans="2:3" ht="12.75" x14ac:dyDescent="0.2">
      <c r="B89" s="505" t="s">
        <v>637</v>
      </c>
      <c r="C89" s="505" t="s">
        <v>1162</v>
      </c>
    </row>
    <row r="90" spans="2:3" ht="12.75" x14ac:dyDescent="0.2">
      <c r="B90" s="505" t="s">
        <v>638</v>
      </c>
      <c r="C90" s="505" t="s">
        <v>1162</v>
      </c>
    </row>
    <row r="91" spans="2:3" ht="12.75" x14ac:dyDescent="0.2">
      <c r="B91" s="505" t="s">
        <v>572</v>
      </c>
      <c r="C91" s="505" t="s">
        <v>1162</v>
      </c>
    </row>
    <row r="92" spans="2:3" ht="12.75" x14ac:dyDescent="0.2">
      <c r="B92" s="505" t="s">
        <v>985</v>
      </c>
      <c r="C92" s="505" t="s">
        <v>1164</v>
      </c>
    </row>
    <row r="93" spans="2:3" ht="12.75" x14ac:dyDescent="0.2">
      <c r="B93" s="505" t="s">
        <v>809</v>
      </c>
      <c r="C93" s="505" t="s">
        <v>1164</v>
      </c>
    </row>
    <row r="94" spans="2:3" ht="12.75" x14ac:dyDescent="0.2">
      <c r="B94" s="505" t="s">
        <v>810</v>
      </c>
      <c r="C94" s="505" t="s">
        <v>1164</v>
      </c>
    </row>
    <row r="95" spans="2:3" ht="12.75" x14ac:dyDescent="0.2">
      <c r="B95" s="505" t="s">
        <v>639</v>
      </c>
      <c r="C95" s="505" t="s">
        <v>1164</v>
      </c>
    </row>
    <row r="96" spans="2:3" ht="12.75" x14ac:dyDescent="0.2">
      <c r="B96" s="505" t="s">
        <v>640</v>
      </c>
      <c r="C96" s="505" t="s">
        <v>1164</v>
      </c>
    </row>
    <row r="97" spans="2:3" ht="12.75" x14ac:dyDescent="0.2">
      <c r="B97" s="505" t="s">
        <v>641</v>
      </c>
      <c r="C97" s="505" t="s">
        <v>1164</v>
      </c>
    </row>
    <row r="98" spans="2:3" ht="12.75" x14ac:dyDescent="0.2">
      <c r="B98" s="505" t="s">
        <v>593</v>
      </c>
      <c r="C98" s="505" t="s">
        <v>1164</v>
      </c>
    </row>
    <row r="99" spans="2:3" ht="12.75" x14ac:dyDescent="0.2">
      <c r="B99" s="505" t="s">
        <v>642</v>
      </c>
      <c r="C99" s="505" t="s">
        <v>1164</v>
      </c>
    </row>
    <row r="100" spans="2:3" ht="12.75" x14ac:dyDescent="0.2">
      <c r="B100" s="505" t="s">
        <v>794</v>
      </c>
      <c r="C100" s="505" t="s">
        <v>1164</v>
      </c>
    </row>
    <row r="101" spans="2:3" ht="12.75" x14ac:dyDescent="0.2">
      <c r="B101" s="505" t="s">
        <v>986</v>
      </c>
      <c r="C101" s="505" t="s">
        <v>1164</v>
      </c>
    </row>
    <row r="102" spans="2:3" ht="12.75" x14ac:dyDescent="0.2">
      <c r="B102" s="505" t="s">
        <v>595</v>
      </c>
      <c r="C102" s="505" t="s">
        <v>1164</v>
      </c>
    </row>
    <row r="103" spans="2:3" ht="12.75" x14ac:dyDescent="0.2">
      <c r="B103" s="505" t="s">
        <v>811</v>
      </c>
      <c r="C103" s="505" t="s">
        <v>1165</v>
      </c>
    </row>
    <row r="104" spans="2:3" ht="12.75" x14ac:dyDescent="0.2">
      <c r="B104" s="505" t="s">
        <v>643</v>
      </c>
      <c r="C104" s="505" t="s">
        <v>1165</v>
      </c>
    </row>
    <row r="105" spans="2:3" ht="12.75" x14ac:dyDescent="0.2">
      <c r="B105" s="505" t="s">
        <v>644</v>
      </c>
      <c r="C105" s="505" t="s">
        <v>1165</v>
      </c>
    </row>
    <row r="106" spans="2:3" ht="12.75" x14ac:dyDescent="0.2">
      <c r="B106" s="505" t="s">
        <v>645</v>
      </c>
      <c r="C106" s="505" t="s">
        <v>1165</v>
      </c>
    </row>
    <row r="107" spans="2:3" ht="12.75" x14ac:dyDescent="0.2">
      <c r="B107" s="505" t="s">
        <v>852</v>
      </c>
      <c r="C107" s="505" t="s">
        <v>1165</v>
      </c>
    </row>
    <row r="108" spans="2:3" ht="12.75" x14ac:dyDescent="0.2">
      <c r="B108" s="505" t="s">
        <v>573</v>
      </c>
      <c r="C108" s="505" t="s">
        <v>1165</v>
      </c>
    </row>
    <row r="109" spans="2:3" ht="12.75" x14ac:dyDescent="0.2">
      <c r="B109" s="505" t="s">
        <v>646</v>
      </c>
      <c r="C109" s="505" t="s">
        <v>1165</v>
      </c>
    </row>
    <row r="110" spans="2:3" ht="12.75" x14ac:dyDescent="0.2">
      <c r="B110" s="505" t="s">
        <v>647</v>
      </c>
      <c r="C110" s="505" t="s">
        <v>1165</v>
      </c>
    </row>
    <row r="111" spans="2:3" ht="12.75" x14ac:dyDescent="0.2">
      <c r="B111" s="505" t="s">
        <v>648</v>
      </c>
      <c r="C111" s="505" t="s">
        <v>1165</v>
      </c>
    </row>
    <row r="112" spans="2:3" ht="12.75" x14ac:dyDescent="0.2">
      <c r="B112" s="505" t="s">
        <v>649</v>
      </c>
      <c r="C112" s="505" t="s">
        <v>1165</v>
      </c>
    </row>
    <row r="113" spans="2:3" ht="12.75" x14ac:dyDescent="0.2">
      <c r="B113" s="505" t="s">
        <v>650</v>
      </c>
      <c r="C113" s="505" t="s">
        <v>1165</v>
      </c>
    </row>
    <row r="114" spans="2:3" ht="12.75" x14ac:dyDescent="0.2">
      <c r="B114" s="505" t="s">
        <v>651</v>
      </c>
      <c r="C114" s="505" t="s">
        <v>1165</v>
      </c>
    </row>
    <row r="115" spans="2:3" ht="12.75" x14ac:dyDescent="0.2">
      <c r="B115" s="505" t="s">
        <v>652</v>
      </c>
      <c r="C115" s="505" t="s">
        <v>1165</v>
      </c>
    </row>
    <row r="116" spans="2:3" ht="12.75" x14ac:dyDescent="0.2">
      <c r="B116" s="505" t="s">
        <v>574</v>
      </c>
      <c r="C116" s="505" t="s">
        <v>1165</v>
      </c>
    </row>
    <row r="117" spans="2:3" ht="12.75" x14ac:dyDescent="0.2">
      <c r="B117" s="505" t="s">
        <v>653</v>
      </c>
      <c r="C117" s="505" t="s">
        <v>1165</v>
      </c>
    </row>
    <row r="118" spans="2:3" ht="12.75" x14ac:dyDescent="0.2">
      <c r="B118" s="505" t="s">
        <v>847</v>
      </c>
      <c r="C118" s="505" t="s">
        <v>1165</v>
      </c>
    </row>
    <row r="119" spans="2:3" ht="12.75" x14ac:dyDescent="0.2">
      <c r="B119" s="505" t="s">
        <v>848</v>
      </c>
      <c r="C119" s="505" t="s">
        <v>1165</v>
      </c>
    </row>
    <row r="120" spans="2:3" ht="12.75" x14ac:dyDescent="0.2">
      <c r="B120" s="505" t="s">
        <v>575</v>
      </c>
      <c r="C120" s="505" t="s">
        <v>1165</v>
      </c>
    </row>
    <row r="121" spans="2:3" ht="12.75" x14ac:dyDescent="0.2">
      <c r="B121" s="505" t="s">
        <v>654</v>
      </c>
      <c r="C121" s="505" t="s">
        <v>1165</v>
      </c>
    </row>
    <row r="122" spans="2:3" ht="12.75" x14ac:dyDescent="0.2">
      <c r="B122" s="505" t="s">
        <v>655</v>
      </c>
      <c r="C122" s="505" t="s">
        <v>1165</v>
      </c>
    </row>
    <row r="123" spans="2:3" ht="12.75" x14ac:dyDescent="0.2">
      <c r="B123" s="505" t="s">
        <v>656</v>
      </c>
      <c r="C123" s="505" t="s">
        <v>1165</v>
      </c>
    </row>
    <row r="124" spans="2:3" ht="12.75" x14ac:dyDescent="0.2">
      <c r="B124" s="505" t="s">
        <v>657</v>
      </c>
      <c r="C124" s="505" t="s">
        <v>1165</v>
      </c>
    </row>
    <row r="125" spans="2:3" ht="12.75" x14ac:dyDescent="0.2">
      <c r="B125" s="505" t="s">
        <v>576</v>
      </c>
      <c r="C125" s="505" t="s">
        <v>1165</v>
      </c>
    </row>
    <row r="126" spans="2:3" ht="12.75" x14ac:dyDescent="0.2">
      <c r="B126" s="505" t="s">
        <v>658</v>
      </c>
      <c r="C126" s="505" t="s">
        <v>1165</v>
      </c>
    </row>
    <row r="127" spans="2:3" ht="12.75" x14ac:dyDescent="0.2">
      <c r="B127" s="505" t="s">
        <v>987</v>
      </c>
      <c r="C127" s="505" t="s">
        <v>1165</v>
      </c>
    </row>
    <row r="128" spans="2:3" ht="12.75" x14ac:dyDescent="0.2">
      <c r="B128" s="505" t="s">
        <v>659</v>
      </c>
      <c r="C128" s="505" t="s">
        <v>1165</v>
      </c>
    </row>
    <row r="129" spans="2:3" ht="12.75" x14ac:dyDescent="0.2">
      <c r="B129" s="505" t="s">
        <v>577</v>
      </c>
      <c r="C129" s="505" t="s">
        <v>1165</v>
      </c>
    </row>
    <row r="130" spans="2:3" ht="12.75" x14ac:dyDescent="0.2">
      <c r="B130" s="505" t="s">
        <v>660</v>
      </c>
      <c r="C130" s="505" t="s">
        <v>1165</v>
      </c>
    </row>
    <row r="131" spans="2:3" ht="12.75" x14ac:dyDescent="0.2">
      <c r="B131" s="505" t="s">
        <v>661</v>
      </c>
      <c r="C131" s="505" t="s">
        <v>1165</v>
      </c>
    </row>
    <row r="132" spans="2:3" ht="12.75" x14ac:dyDescent="0.2">
      <c r="B132" s="505" t="s">
        <v>662</v>
      </c>
      <c r="C132" s="505" t="s">
        <v>1165</v>
      </c>
    </row>
    <row r="133" spans="2:3" ht="12.75" x14ac:dyDescent="0.2">
      <c r="B133" s="505" t="s">
        <v>663</v>
      </c>
      <c r="C133" s="505" t="s">
        <v>1165</v>
      </c>
    </row>
    <row r="134" spans="2:3" ht="12.75" x14ac:dyDescent="0.2">
      <c r="B134" s="505" t="s">
        <v>664</v>
      </c>
      <c r="C134" s="505" t="s">
        <v>1165</v>
      </c>
    </row>
    <row r="135" spans="2:3" ht="12.75" x14ac:dyDescent="0.2">
      <c r="B135" s="505" t="s">
        <v>578</v>
      </c>
      <c r="C135" t="s">
        <v>1165</v>
      </c>
    </row>
    <row r="136" spans="2:3" ht="12.75" x14ac:dyDescent="0.2">
      <c r="B136" s="505" t="s">
        <v>665</v>
      </c>
      <c r="C136" t="s">
        <v>1165</v>
      </c>
    </row>
    <row r="137" spans="2:3" ht="12.75" x14ac:dyDescent="0.2">
      <c r="B137" s="505" t="s">
        <v>666</v>
      </c>
      <c r="C137" t="s">
        <v>1165</v>
      </c>
    </row>
    <row r="138" spans="2:3" ht="12.75" x14ac:dyDescent="0.2">
      <c r="B138" s="505" t="s">
        <v>667</v>
      </c>
      <c r="C138" t="s">
        <v>1165</v>
      </c>
    </row>
    <row r="139" spans="2:3" ht="12.75" x14ac:dyDescent="0.2">
      <c r="B139" s="505" t="s">
        <v>988</v>
      </c>
      <c r="C139" t="s">
        <v>1165</v>
      </c>
    </row>
    <row r="140" spans="2:3" ht="12.75" x14ac:dyDescent="0.2">
      <c r="B140" s="505" t="s">
        <v>579</v>
      </c>
      <c r="C140" t="s">
        <v>1165</v>
      </c>
    </row>
    <row r="141" spans="2:3" ht="12.75" x14ac:dyDescent="0.2">
      <c r="B141" s="505" t="s">
        <v>795</v>
      </c>
      <c r="C141" t="s">
        <v>1165</v>
      </c>
    </row>
    <row r="142" spans="2:3" ht="12.75" x14ac:dyDescent="0.2">
      <c r="B142" s="505" t="s">
        <v>668</v>
      </c>
      <c r="C142" t="s">
        <v>1165</v>
      </c>
    </row>
    <row r="143" spans="2:3" ht="12.75" x14ac:dyDescent="0.2">
      <c r="B143" s="505" t="s">
        <v>796</v>
      </c>
      <c r="C143" t="s">
        <v>1165</v>
      </c>
    </row>
    <row r="144" spans="2:3" ht="12.75" x14ac:dyDescent="0.2">
      <c r="B144" s="505" t="s">
        <v>669</v>
      </c>
      <c r="C144" t="s">
        <v>1165</v>
      </c>
    </row>
    <row r="145" spans="2:3" ht="12.75" x14ac:dyDescent="0.2">
      <c r="B145" s="505" t="s">
        <v>670</v>
      </c>
      <c r="C145" t="s">
        <v>1165</v>
      </c>
    </row>
    <row r="146" spans="2:3" ht="12.75" x14ac:dyDescent="0.2">
      <c r="B146" s="505" t="s">
        <v>849</v>
      </c>
      <c r="C146" t="s">
        <v>1165</v>
      </c>
    </row>
    <row r="147" spans="2:3" ht="12.75" x14ac:dyDescent="0.2">
      <c r="B147" s="505" t="s">
        <v>671</v>
      </c>
      <c r="C147" t="s">
        <v>1165</v>
      </c>
    </row>
    <row r="148" spans="2:3" ht="12.75" x14ac:dyDescent="0.2">
      <c r="B148" s="505" t="s">
        <v>672</v>
      </c>
      <c r="C148" t="s">
        <v>1165</v>
      </c>
    </row>
    <row r="149" spans="2:3" ht="12.75" x14ac:dyDescent="0.2">
      <c r="B149" s="505" t="s">
        <v>673</v>
      </c>
      <c r="C149" t="s">
        <v>1165</v>
      </c>
    </row>
    <row r="150" spans="2:3" ht="12.75" x14ac:dyDescent="0.2">
      <c r="B150" s="505" t="s">
        <v>674</v>
      </c>
      <c r="C150" t="s">
        <v>1165</v>
      </c>
    </row>
    <row r="151" spans="2:3" ht="12.75" x14ac:dyDescent="0.2">
      <c r="B151" s="505" t="s">
        <v>580</v>
      </c>
      <c r="C151" t="s">
        <v>1165</v>
      </c>
    </row>
    <row r="152" spans="2:3" ht="12.75" x14ac:dyDescent="0.2">
      <c r="B152" s="505" t="s">
        <v>675</v>
      </c>
      <c r="C152" t="s">
        <v>1165</v>
      </c>
    </row>
    <row r="153" spans="2:3" ht="12.75" x14ac:dyDescent="0.2">
      <c r="B153" s="505" t="s">
        <v>676</v>
      </c>
      <c r="C153" t="s">
        <v>1165</v>
      </c>
    </row>
    <row r="154" spans="2:3" ht="12.75" x14ac:dyDescent="0.2">
      <c r="B154" s="505" t="s">
        <v>677</v>
      </c>
      <c r="C154" t="s">
        <v>1165</v>
      </c>
    </row>
    <row r="155" spans="2:3" ht="12.75" x14ac:dyDescent="0.2">
      <c r="B155" s="505" t="s">
        <v>850</v>
      </c>
      <c r="C155" t="s">
        <v>1165</v>
      </c>
    </row>
    <row r="156" spans="2:3" ht="12.75" x14ac:dyDescent="0.2">
      <c r="B156" s="505" t="s">
        <v>812</v>
      </c>
      <c r="C156" t="s">
        <v>1165</v>
      </c>
    </row>
    <row r="157" spans="2:3" ht="12.75" x14ac:dyDescent="0.2">
      <c r="B157" s="505" t="s">
        <v>678</v>
      </c>
      <c r="C157" t="s">
        <v>1166</v>
      </c>
    </row>
    <row r="158" spans="2:3" ht="12.75" x14ac:dyDescent="0.2">
      <c r="B158" s="505" t="s">
        <v>679</v>
      </c>
      <c r="C158" t="s">
        <v>1166</v>
      </c>
    </row>
    <row r="159" spans="2:3" ht="12.75" x14ac:dyDescent="0.2">
      <c r="B159" s="505" t="s">
        <v>680</v>
      </c>
      <c r="C159" t="s">
        <v>1166</v>
      </c>
    </row>
    <row r="160" spans="2:3" ht="12.75" x14ac:dyDescent="0.2">
      <c r="B160" s="505" t="s">
        <v>681</v>
      </c>
      <c r="C160" t="s">
        <v>1166</v>
      </c>
    </row>
    <row r="161" spans="2:3" ht="12.75" x14ac:dyDescent="0.2">
      <c r="B161" s="505" t="s">
        <v>682</v>
      </c>
      <c r="C161" t="s">
        <v>1166</v>
      </c>
    </row>
    <row r="162" spans="2:3" ht="12.75" x14ac:dyDescent="0.2">
      <c r="B162" s="505" t="s">
        <v>585</v>
      </c>
      <c r="C162" t="s">
        <v>1166</v>
      </c>
    </row>
    <row r="163" spans="2:3" ht="12.75" x14ac:dyDescent="0.2">
      <c r="B163" s="505" t="s">
        <v>683</v>
      </c>
      <c r="C163" t="s">
        <v>1166</v>
      </c>
    </row>
    <row r="164" spans="2:3" ht="12.75" x14ac:dyDescent="0.2">
      <c r="B164" s="505" t="s">
        <v>684</v>
      </c>
      <c r="C164" t="s">
        <v>1166</v>
      </c>
    </row>
    <row r="165" spans="2:3" ht="12.75" x14ac:dyDescent="0.2">
      <c r="B165" s="505" t="s">
        <v>685</v>
      </c>
      <c r="C165" t="s">
        <v>1166</v>
      </c>
    </row>
    <row r="166" spans="2:3" ht="12.75" x14ac:dyDescent="0.2">
      <c r="B166" s="505" t="s">
        <v>989</v>
      </c>
      <c r="C166" t="s">
        <v>1166</v>
      </c>
    </row>
    <row r="167" spans="2:3" ht="12.75" x14ac:dyDescent="0.2">
      <c r="B167" s="505" t="s">
        <v>586</v>
      </c>
      <c r="C167" t="s">
        <v>1166</v>
      </c>
    </row>
    <row r="168" spans="2:3" ht="12.75" x14ac:dyDescent="0.2">
      <c r="B168" s="505" t="s">
        <v>686</v>
      </c>
      <c r="C168" t="s">
        <v>1166</v>
      </c>
    </row>
    <row r="169" spans="2:3" ht="12.75" x14ac:dyDescent="0.2">
      <c r="B169" s="505" t="s">
        <v>687</v>
      </c>
      <c r="C169" t="s">
        <v>1166</v>
      </c>
    </row>
    <row r="170" spans="2:3" ht="12.75" x14ac:dyDescent="0.2">
      <c r="B170" s="505" t="s">
        <v>688</v>
      </c>
      <c r="C170" t="s">
        <v>1166</v>
      </c>
    </row>
    <row r="171" spans="2:3" ht="12.75" x14ac:dyDescent="0.2">
      <c r="B171" s="505" t="s">
        <v>689</v>
      </c>
      <c r="C171" t="s">
        <v>1166</v>
      </c>
    </row>
    <row r="172" spans="2:3" ht="12.75" x14ac:dyDescent="0.2">
      <c r="B172" s="505" t="s">
        <v>587</v>
      </c>
      <c r="C172" t="s">
        <v>1166</v>
      </c>
    </row>
    <row r="173" spans="2:3" ht="12.75" x14ac:dyDescent="0.2">
      <c r="B173" s="505" t="s">
        <v>690</v>
      </c>
      <c r="C173" t="s">
        <v>1166</v>
      </c>
    </row>
    <row r="174" spans="2:3" ht="12.75" x14ac:dyDescent="0.2">
      <c r="B174" s="505" t="s">
        <v>691</v>
      </c>
      <c r="C174" t="s">
        <v>1166</v>
      </c>
    </row>
    <row r="175" spans="2:3" ht="12.75" x14ac:dyDescent="0.2">
      <c r="B175" s="505" t="s">
        <v>692</v>
      </c>
      <c r="C175" t="s">
        <v>1166</v>
      </c>
    </row>
    <row r="176" spans="2:3" ht="12.75" x14ac:dyDescent="0.2">
      <c r="B176" s="505" t="s">
        <v>693</v>
      </c>
      <c r="C176" t="s">
        <v>1166</v>
      </c>
    </row>
    <row r="177" spans="2:3" ht="12.75" x14ac:dyDescent="0.2">
      <c r="B177" s="505" t="s">
        <v>990</v>
      </c>
      <c r="C177" t="s">
        <v>1166</v>
      </c>
    </row>
    <row r="178" spans="2:3" ht="12.75" x14ac:dyDescent="0.2">
      <c r="B178" s="505" t="s">
        <v>588</v>
      </c>
      <c r="C178" t="s">
        <v>1166</v>
      </c>
    </row>
    <row r="179" spans="2:3" ht="12.75" x14ac:dyDescent="0.2">
      <c r="B179" s="505" t="s">
        <v>797</v>
      </c>
      <c r="C179" s="505" t="s">
        <v>1166</v>
      </c>
    </row>
    <row r="180" spans="2:3" ht="12.75" x14ac:dyDescent="0.2">
      <c r="B180" s="505" t="s">
        <v>694</v>
      </c>
      <c r="C180" s="505" t="s">
        <v>1166</v>
      </c>
    </row>
    <row r="181" spans="2:3" ht="12.75" x14ac:dyDescent="0.2">
      <c r="B181" s="505" t="s">
        <v>798</v>
      </c>
      <c r="C181" s="505" t="s">
        <v>1166</v>
      </c>
    </row>
    <row r="182" spans="2:3" ht="12.75" x14ac:dyDescent="0.2">
      <c r="B182" s="505" t="s">
        <v>991</v>
      </c>
      <c r="C182" s="505" t="s">
        <v>1166</v>
      </c>
    </row>
    <row r="183" spans="2:3" ht="12.75" x14ac:dyDescent="0.2">
      <c r="B183" s="505" t="s">
        <v>813</v>
      </c>
      <c r="C183" s="505" t="s">
        <v>1166</v>
      </c>
    </row>
    <row r="184" spans="2:3" ht="12.75" x14ac:dyDescent="0.2">
      <c r="B184" s="505" t="s">
        <v>695</v>
      </c>
      <c r="C184" s="505" t="s">
        <v>1167</v>
      </c>
    </row>
    <row r="185" spans="2:3" ht="12.75" x14ac:dyDescent="0.2">
      <c r="B185" s="505" t="s">
        <v>696</v>
      </c>
      <c r="C185" s="505" t="s">
        <v>1167</v>
      </c>
    </row>
    <row r="186" spans="2:3" ht="12.75" x14ac:dyDescent="0.2">
      <c r="B186" s="505" t="s">
        <v>697</v>
      </c>
      <c r="C186" s="505" t="s">
        <v>1167</v>
      </c>
    </row>
    <row r="187" spans="2:3" ht="12.75" x14ac:dyDescent="0.2">
      <c r="B187" s="505" t="s">
        <v>799</v>
      </c>
      <c r="C187" s="505" t="s">
        <v>1167</v>
      </c>
    </row>
    <row r="188" spans="2:3" ht="12.75" x14ac:dyDescent="0.2">
      <c r="B188" s="505" t="s">
        <v>698</v>
      </c>
      <c r="C188" s="505" t="s">
        <v>1167</v>
      </c>
    </row>
    <row r="189" spans="2:3" ht="12.75" x14ac:dyDescent="0.2">
      <c r="B189" s="505" t="s">
        <v>699</v>
      </c>
      <c r="C189" s="505" t="s">
        <v>1167</v>
      </c>
    </row>
    <row r="190" spans="2:3" ht="12.75" x14ac:dyDescent="0.2">
      <c r="B190" s="505" t="s">
        <v>700</v>
      </c>
      <c r="C190" s="505" t="s">
        <v>1167</v>
      </c>
    </row>
    <row r="191" spans="2:3" ht="12.75" x14ac:dyDescent="0.2">
      <c r="B191" s="505" t="s">
        <v>582</v>
      </c>
      <c r="C191" s="505" t="s">
        <v>1167</v>
      </c>
    </row>
    <row r="192" spans="2:3" ht="12.75" x14ac:dyDescent="0.2">
      <c r="B192" s="505" t="s">
        <v>800</v>
      </c>
      <c r="C192" s="505" t="s">
        <v>1167</v>
      </c>
    </row>
    <row r="193" spans="2:3" ht="12.75" x14ac:dyDescent="0.2">
      <c r="B193" s="505" t="s">
        <v>814</v>
      </c>
      <c r="C193" s="505" t="s">
        <v>1167</v>
      </c>
    </row>
    <row r="194" spans="2:3" ht="12.75" x14ac:dyDescent="0.2">
      <c r="B194" s="505" t="s">
        <v>701</v>
      </c>
      <c r="C194" s="505" t="s">
        <v>1167</v>
      </c>
    </row>
    <row r="195" spans="2:3" ht="12.75" x14ac:dyDescent="0.2">
      <c r="B195" s="505" t="s">
        <v>702</v>
      </c>
      <c r="C195" s="505" t="s">
        <v>1167</v>
      </c>
    </row>
    <row r="196" spans="2:3" ht="12.75" x14ac:dyDescent="0.2">
      <c r="B196" s="505" t="s">
        <v>815</v>
      </c>
      <c r="C196" s="505" t="s">
        <v>1167</v>
      </c>
    </row>
    <row r="197" spans="2:3" ht="12.75" x14ac:dyDescent="0.2">
      <c r="B197" s="505" t="s">
        <v>703</v>
      </c>
      <c r="C197" s="505" t="s">
        <v>1167</v>
      </c>
    </row>
    <row r="198" spans="2:3" ht="12.75" x14ac:dyDescent="0.2">
      <c r="B198" s="505" t="s">
        <v>583</v>
      </c>
      <c r="C198" s="505" t="s">
        <v>1167</v>
      </c>
    </row>
    <row r="199" spans="2:3" ht="12.75" x14ac:dyDescent="0.2">
      <c r="B199" s="505" t="s">
        <v>704</v>
      </c>
      <c r="C199" s="505" t="s">
        <v>1167</v>
      </c>
    </row>
    <row r="200" spans="2:3" ht="12.75" x14ac:dyDescent="0.2">
      <c r="B200" s="505" t="s">
        <v>705</v>
      </c>
      <c r="C200" s="505" t="s">
        <v>1167</v>
      </c>
    </row>
    <row r="201" spans="2:3" ht="12.75" x14ac:dyDescent="0.2">
      <c r="B201" s="505" t="s">
        <v>706</v>
      </c>
      <c r="C201" s="505" t="s">
        <v>1167</v>
      </c>
    </row>
    <row r="202" spans="2:3" ht="12.75" x14ac:dyDescent="0.2">
      <c r="B202" s="505" t="s">
        <v>851</v>
      </c>
      <c r="C202" s="505" t="s">
        <v>1167</v>
      </c>
    </row>
    <row r="203" spans="2:3" ht="12.75" x14ac:dyDescent="0.2">
      <c r="B203" s="505" t="s">
        <v>584</v>
      </c>
      <c r="C203" s="505" t="s">
        <v>1167</v>
      </c>
    </row>
    <row r="204" spans="2:3" ht="12.75" x14ac:dyDescent="0.2">
      <c r="B204" s="505" t="s">
        <v>801</v>
      </c>
      <c r="C204" s="505" t="s">
        <v>1168</v>
      </c>
    </row>
    <row r="205" spans="2:3" ht="12.75" x14ac:dyDescent="0.2">
      <c r="B205" s="505" t="s">
        <v>729</v>
      </c>
      <c r="C205" s="505" t="s">
        <v>1168</v>
      </c>
    </row>
    <row r="206" spans="2:3" ht="12.75" x14ac:dyDescent="0.2">
      <c r="B206" s="505" t="s">
        <v>730</v>
      </c>
      <c r="C206" s="505" t="s">
        <v>1168</v>
      </c>
    </row>
    <row r="207" spans="2:3" ht="12.75" x14ac:dyDescent="0.2">
      <c r="B207" s="505" t="s">
        <v>792</v>
      </c>
      <c r="C207" s="505" t="s">
        <v>1168</v>
      </c>
    </row>
    <row r="208" spans="2:3" ht="12.75" x14ac:dyDescent="0.2">
      <c r="B208" s="505" t="s">
        <v>707</v>
      </c>
      <c r="C208" s="505" t="s">
        <v>1168</v>
      </c>
    </row>
    <row r="209" spans="2:3" ht="12.75" x14ac:dyDescent="0.2">
      <c r="B209" s="505" t="s">
        <v>708</v>
      </c>
      <c r="C209" s="505" t="s">
        <v>1168</v>
      </c>
    </row>
    <row r="210" spans="2:3" ht="12.75" x14ac:dyDescent="0.2">
      <c r="B210" s="505" t="s">
        <v>709</v>
      </c>
      <c r="C210" s="505" t="s">
        <v>1168</v>
      </c>
    </row>
    <row r="211" spans="2:3" ht="12.75" x14ac:dyDescent="0.2">
      <c r="B211" s="505" t="s">
        <v>710</v>
      </c>
      <c r="C211" s="505" t="s">
        <v>1168</v>
      </c>
    </row>
    <row r="212" spans="2:3" ht="12.75" x14ac:dyDescent="0.2">
      <c r="B212" s="505" t="s">
        <v>711</v>
      </c>
      <c r="C212" s="505" t="s">
        <v>1168</v>
      </c>
    </row>
    <row r="213" spans="2:3" ht="12.75" x14ac:dyDescent="0.2">
      <c r="B213" s="505" t="s">
        <v>712</v>
      </c>
      <c r="C213" s="505" t="s">
        <v>1168</v>
      </c>
    </row>
    <row r="214" spans="2:3" ht="12.75" x14ac:dyDescent="0.2">
      <c r="B214" s="505" t="s">
        <v>597</v>
      </c>
      <c r="C214" s="505" t="s">
        <v>1168</v>
      </c>
    </row>
    <row r="215" spans="2:3" ht="12.75" x14ac:dyDescent="0.2">
      <c r="B215" s="505" t="s">
        <v>713</v>
      </c>
      <c r="C215" s="505" t="s">
        <v>1168</v>
      </c>
    </row>
    <row r="216" spans="2:3" ht="12.75" x14ac:dyDescent="0.2">
      <c r="B216" s="505" t="s">
        <v>714</v>
      </c>
      <c r="C216" s="505" t="s">
        <v>1168</v>
      </c>
    </row>
    <row r="217" spans="2:3" ht="12.75" x14ac:dyDescent="0.2">
      <c r="B217" s="505" t="s">
        <v>715</v>
      </c>
      <c r="C217" s="505" t="s">
        <v>1168</v>
      </c>
    </row>
    <row r="218" spans="2:3" ht="12.75" x14ac:dyDescent="0.2">
      <c r="B218" s="505" t="s">
        <v>716</v>
      </c>
      <c r="C218" s="505" t="s">
        <v>1168</v>
      </c>
    </row>
    <row r="219" spans="2:3" ht="12.75" x14ac:dyDescent="0.2">
      <c r="B219" s="505" t="s">
        <v>717</v>
      </c>
      <c r="C219" s="505" t="s">
        <v>1168</v>
      </c>
    </row>
    <row r="220" spans="2:3" ht="12.75" x14ac:dyDescent="0.2">
      <c r="B220" s="505" t="s">
        <v>718</v>
      </c>
      <c r="C220" s="505" t="s">
        <v>1168</v>
      </c>
    </row>
    <row r="221" spans="2:3" ht="12.75" x14ac:dyDescent="0.2">
      <c r="B221" s="505" t="s">
        <v>719</v>
      </c>
      <c r="C221" s="505" t="s">
        <v>1168</v>
      </c>
    </row>
    <row r="222" spans="2:3" ht="12.75" x14ac:dyDescent="0.2">
      <c r="B222" s="505" t="s">
        <v>720</v>
      </c>
      <c r="C222" s="505" t="s">
        <v>1168</v>
      </c>
    </row>
    <row r="223" spans="2:3" ht="12.75" x14ac:dyDescent="0.2">
      <c r="B223" s="505" t="s">
        <v>816</v>
      </c>
      <c r="C223" s="505" t="s">
        <v>1168</v>
      </c>
    </row>
    <row r="224" spans="2:3" ht="12.75" x14ac:dyDescent="0.2">
      <c r="B224" s="505" t="s">
        <v>721</v>
      </c>
      <c r="C224" s="505" t="s">
        <v>1168</v>
      </c>
    </row>
    <row r="225" spans="2:3" ht="12.75" x14ac:dyDescent="0.2">
      <c r="B225" s="505" t="s">
        <v>722</v>
      </c>
      <c r="C225" s="505" t="s">
        <v>1168</v>
      </c>
    </row>
    <row r="226" spans="2:3" ht="12.75" x14ac:dyDescent="0.2">
      <c r="B226" s="505" t="s">
        <v>723</v>
      </c>
      <c r="C226" s="505" t="s">
        <v>1168</v>
      </c>
    </row>
    <row r="227" spans="2:3" ht="12.75" x14ac:dyDescent="0.2">
      <c r="B227" s="505" t="s">
        <v>724</v>
      </c>
      <c r="C227" s="505" t="s">
        <v>1168</v>
      </c>
    </row>
    <row r="228" spans="2:3" ht="12.75" x14ac:dyDescent="0.2">
      <c r="B228" s="505" t="s">
        <v>992</v>
      </c>
      <c r="C228" s="505" t="s">
        <v>1168</v>
      </c>
    </row>
    <row r="229" spans="2:3" ht="12.75" x14ac:dyDescent="0.2">
      <c r="B229" s="505" t="s">
        <v>842</v>
      </c>
      <c r="C229" s="505" t="s">
        <v>1168</v>
      </c>
    </row>
    <row r="230" spans="2:3" ht="12.75" x14ac:dyDescent="0.2">
      <c r="B230" s="505" t="s">
        <v>725</v>
      </c>
      <c r="C230" s="505" t="s">
        <v>1168</v>
      </c>
    </row>
    <row r="231" spans="2:3" ht="12.75" x14ac:dyDescent="0.2">
      <c r="B231" s="505" t="s">
        <v>726</v>
      </c>
      <c r="C231" s="505" t="s">
        <v>1168</v>
      </c>
    </row>
    <row r="232" spans="2:3" ht="12.75" x14ac:dyDescent="0.2">
      <c r="B232" s="505" t="s">
        <v>727</v>
      </c>
      <c r="C232" s="505" t="s">
        <v>1168</v>
      </c>
    </row>
    <row r="233" spans="2:3" ht="12.75" x14ac:dyDescent="0.2">
      <c r="B233" s="505" t="s">
        <v>728</v>
      </c>
      <c r="C233" s="505" t="s">
        <v>1168</v>
      </c>
    </row>
    <row r="234" spans="2:3" ht="12.75" x14ac:dyDescent="0.2">
      <c r="B234" s="505" t="s">
        <v>598</v>
      </c>
      <c r="C234" s="505" t="s">
        <v>1168</v>
      </c>
    </row>
    <row r="235" spans="2:3" ht="12.75" x14ac:dyDescent="0.2">
      <c r="B235" s="505" t="s">
        <v>731</v>
      </c>
      <c r="C235" s="505" t="s">
        <v>1169</v>
      </c>
    </row>
    <row r="236" spans="2:3" ht="12.75" x14ac:dyDescent="0.2">
      <c r="B236" s="505" t="s">
        <v>732</v>
      </c>
      <c r="C236" s="505" t="s">
        <v>1169</v>
      </c>
    </row>
    <row r="237" spans="2:3" ht="12.75" x14ac:dyDescent="0.2">
      <c r="B237" s="505" t="s">
        <v>733</v>
      </c>
      <c r="C237" s="505" t="s">
        <v>1169</v>
      </c>
    </row>
    <row r="238" spans="2:3" ht="12.75" x14ac:dyDescent="0.2">
      <c r="B238" s="505" t="s">
        <v>734</v>
      </c>
      <c r="C238" s="505" t="s">
        <v>1169</v>
      </c>
    </row>
    <row r="239" spans="2:3" ht="12.75" x14ac:dyDescent="0.2">
      <c r="B239" s="505" t="s">
        <v>735</v>
      </c>
      <c r="C239" s="505" t="s">
        <v>1169</v>
      </c>
    </row>
    <row r="240" spans="2:3" ht="12.75" x14ac:dyDescent="0.2">
      <c r="B240" s="505" t="s">
        <v>589</v>
      </c>
      <c r="C240" s="505" t="s">
        <v>1169</v>
      </c>
    </row>
    <row r="241" spans="2:3" ht="12.75" x14ac:dyDescent="0.2">
      <c r="B241" s="505" t="s">
        <v>736</v>
      </c>
      <c r="C241" s="505" t="s">
        <v>1169</v>
      </c>
    </row>
    <row r="242" spans="2:3" ht="12.75" x14ac:dyDescent="0.2">
      <c r="B242" s="505" t="s">
        <v>737</v>
      </c>
      <c r="C242" s="505" t="s">
        <v>1169</v>
      </c>
    </row>
    <row r="243" spans="2:3" ht="12.75" x14ac:dyDescent="0.2">
      <c r="B243" s="505" t="s">
        <v>738</v>
      </c>
      <c r="C243" s="505" t="s">
        <v>1169</v>
      </c>
    </row>
    <row r="244" spans="2:3" ht="12.75" x14ac:dyDescent="0.2">
      <c r="B244" s="505" t="s">
        <v>739</v>
      </c>
      <c r="C244" s="505" t="s">
        <v>1169</v>
      </c>
    </row>
    <row r="245" spans="2:3" ht="12.75" x14ac:dyDescent="0.2">
      <c r="B245" s="505" t="s">
        <v>740</v>
      </c>
      <c r="C245" s="505" t="s">
        <v>1169</v>
      </c>
    </row>
    <row r="246" spans="2:3" ht="12.75" x14ac:dyDescent="0.2">
      <c r="B246" s="505" t="s">
        <v>590</v>
      </c>
      <c r="C246" s="505" t="s">
        <v>1169</v>
      </c>
    </row>
    <row r="247" spans="2:3" ht="12.75" x14ac:dyDescent="0.2">
      <c r="B247" s="505" t="s">
        <v>741</v>
      </c>
      <c r="C247" s="505" t="s">
        <v>1169</v>
      </c>
    </row>
    <row r="248" spans="2:3" ht="12.75" x14ac:dyDescent="0.2">
      <c r="B248" s="505" t="s">
        <v>742</v>
      </c>
      <c r="C248" s="505" t="s">
        <v>1169</v>
      </c>
    </row>
    <row r="249" spans="2:3" ht="12.75" x14ac:dyDescent="0.2">
      <c r="B249" s="505" t="s">
        <v>743</v>
      </c>
      <c r="C249" s="505" t="s">
        <v>1169</v>
      </c>
    </row>
    <row r="250" spans="2:3" ht="12.75" x14ac:dyDescent="0.2">
      <c r="B250" s="505" t="s">
        <v>744</v>
      </c>
      <c r="C250" s="505" t="s">
        <v>1169</v>
      </c>
    </row>
    <row r="251" spans="2:3" ht="12.75" x14ac:dyDescent="0.2">
      <c r="B251" s="505" t="s">
        <v>843</v>
      </c>
      <c r="C251" s="505" t="s">
        <v>1169</v>
      </c>
    </row>
    <row r="252" spans="2:3" ht="12.75" x14ac:dyDescent="0.2">
      <c r="B252" s="505" t="s">
        <v>591</v>
      </c>
      <c r="C252" s="505" t="s">
        <v>1169</v>
      </c>
    </row>
    <row r="253" spans="2:3" ht="12.75" x14ac:dyDescent="0.2">
      <c r="B253" s="505" t="s">
        <v>745</v>
      </c>
      <c r="C253" s="505" t="s">
        <v>1169</v>
      </c>
    </row>
    <row r="254" spans="2:3" ht="12.75" x14ac:dyDescent="0.2">
      <c r="B254" s="505" t="s">
        <v>746</v>
      </c>
      <c r="C254" s="505" t="s">
        <v>1169</v>
      </c>
    </row>
    <row r="255" spans="2:3" ht="12.75" x14ac:dyDescent="0.2">
      <c r="B255" s="505" t="s">
        <v>993</v>
      </c>
      <c r="C255" s="505" t="s">
        <v>1169</v>
      </c>
    </row>
    <row r="256" spans="2:3" ht="12.75" x14ac:dyDescent="0.2">
      <c r="B256" s="505" t="s">
        <v>592</v>
      </c>
      <c r="C256" s="505" t="s">
        <v>1169</v>
      </c>
    </row>
    <row r="257" spans="2:3" ht="12.75" x14ac:dyDescent="0.2">
      <c r="B257" s="505" t="s">
        <v>817</v>
      </c>
      <c r="C257" s="505" t="s">
        <v>1170</v>
      </c>
    </row>
    <row r="258" spans="2:3" ht="12.75" x14ac:dyDescent="0.2">
      <c r="B258" s="505" t="s">
        <v>747</v>
      </c>
      <c r="C258" s="505" t="s">
        <v>1170</v>
      </c>
    </row>
    <row r="259" spans="2:3" ht="12.75" x14ac:dyDescent="0.2">
      <c r="B259" s="505" t="s">
        <v>748</v>
      </c>
      <c r="C259" s="505" t="s">
        <v>1170</v>
      </c>
    </row>
    <row r="260" spans="2:3" ht="12.75" x14ac:dyDescent="0.2">
      <c r="B260" s="505" t="s">
        <v>749</v>
      </c>
      <c r="C260" s="505" t="s">
        <v>1170</v>
      </c>
    </row>
    <row r="261" spans="2:3" ht="12.75" x14ac:dyDescent="0.2">
      <c r="B261" s="505" t="s">
        <v>750</v>
      </c>
      <c r="C261" s="505" t="s">
        <v>1170</v>
      </c>
    </row>
    <row r="262" spans="2:3" ht="12.75" x14ac:dyDescent="0.2">
      <c r="B262" s="505" t="s">
        <v>751</v>
      </c>
      <c r="C262" s="505" t="s">
        <v>1170</v>
      </c>
    </row>
    <row r="263" spans="2:3" ht="12.75" x14ac:dyDescent="0.2">
      <c r="B263" s="505" t="s">
        <v>565</v>
      </c>
      <c r="C263" s="505" t="s">
        <v>1170</v>
      </c>
    </row>
    <row r="264" spans="2:3" ht="12.75" x14ac:dyDescent="0.2">
      <c r="B264" s="505" t="s">
        <v>752</v>
      </c>
      <c r="C264" s="505" t="s">
        <v>1170</v>
      </c>
    </row>
    <row r="265" spans="2:3" ht="12.75" x14ac:dyDescent="0.2">
      <c r="B265" s="505" t="s">
        <v>753</v>
      </c>
      <c r="C265" s="505" t="s">
        <v>1170</v>
      </c>
    </row>
    <row r="266" spans="2:3" ht="12.75" x14ac:dyDescent="0.2">
      <c r="B266" s="505" t="s">
        <v>754</v>
      </c>
      <c r="C266" s="505" t="s">
        <v>1170</v>
      </c>
    </row>
    <row r="267" spans="2:3" ht="12.75" x14ac:dyDescent="0.2">
      <c r="B267" s="505" t="s">
        <v>755</v>
      </c>
      <c r="C267" s="505" t="s">
        <v>1170</v>
      </c>
    </row>
    <row r="268" spans="2:3" ht="12.75" x14ac:dyDescent="0.2">
      <c r="B268" s="505" t="s">
        <v>802</v>
      </c>
      <c r="C268" s="505" t="s">
        <v>1170</v>
      </c>
    </row>
    <row r="269" spans="2:3" ht="12.75" x14ac:dyDescent="0.2">
      <c r="B269" s="505" t="s">
        <v>818</v>
      </c>
      <c r="C269" s="505" t="s">
        <v>1170</v>
      </c>
    </row>
    <row r="270" spans="2:3" ht="12.75" x14ac:dyDescent="0.2">
      <c r="B270" s="505" t="s">
        <v>756</v>
      </c>
      <c r="C270" s="505" t="s">
        <v>1170</v>
      </c>
    </row>
    <row r="271" spans="2:3" ht="12.75" x14ac:dyDescent="0.2">
      <c r="B271" s="505" t="s">
        <v>757</v>
      </c>
      <c r="C271" s="505" t="s">
        <v>1170</v>
      </c>
    </row>
    <row r="272" spans="2:3" ht="12.75" x14ac:dyDescent="0.2">
      <c r="B272" s="505" t="s">
        <v>758</v>
      </c>
      <c r="C272" s="505" t="s">
        <v>1170</v>
      </c>
    </row>
    <row r="273" spans="2:3" ht="12.75" x14ac:dyDescent="0.2">
      <c r="B273" s="505" t="s">
        <v>759</v>
      </c>
      <c r="C273" s="505" t="s">
        <v>1170</v>
      </c>
    </row>
    <row r="274" spans="2:3" ht="12.75" x14ac:dyDescent="0.2">
      <c r="B274" s="505" t="s">
        <v>581</v>
      </c>
      <c r="C274" s="505" t="s">
        <v>1170</v>
      </c>
    </row>
    <row r="275" spans="2:3" ht="12.75" x14ac:dyDescent="0.2">
      <c r="B275" s="505" t="s">
        <v>760</v>
      </c>
      <c r="C275" s="505" t="s">
        <v>1170</v>
      </c>
    </row>
    <row r="276" spans="2:3" ht="12.75" x14ac:dyDescent="0.2">
      <c r="B276" s="505" t="s">
        <v>761</v>
      </c>
      <c r="C276" s="505" t="s">
        <v>1170</v>
      </c>
    </row>
    <row r="277" spans="2:3" ht="12.75" x14ac:dyDescent="0.2">
      <c r="B277" s="505" t="s">
        <v>762</v>
      </c>
      <c r="C277" s="505" t="s">
        <v>1170</v>
      </c>
    </row>
    <row r="278" spans="2:3" ht="12.75" x14ac:dyDescent="0.2">
      <c r="B278" s="505" t="s">
        <v>763</v>
      </c>
      <c r="C278" s="505" t="s">
        <v>1170</v>
      </c>
    </row>
    <row r="279" spans="2:3" ht="12.75" x14ac:dyDescent="0.2">
      <c r="B279" s="505" t="s">
        <v>764</v>
      </c>
      <c r="C279" s="505" t="s">
        <v>1170</v>
      </c>
    </row>
    <row r="280" spans="2:3" ht="12.75" x14ac:dyDescent="0.2">
      <c r="B280" s="505" t="s">
        <v>765</v>
      </c>
      <c r="C280" s="505" t="s">
        <v>1170</v>
      </c>
    </row>
    <row r="281" spans="2:3" ht="12.75" x14ac:dyDescent="0.2">
      <c r="B281" s="505" t="s">
        <v>766</v>
      </c>
      <c r="C281" s="505" t="s">
        <v>1170</v>
      </c>
    </row>
    <row r="282" spans="2:3" ht="12.75" x14ac:dyDescent="0.2">
      <c r="B282" s="505" t="s">
        <v>1171</v>
      </c>
      <c r="C282" s="505" t="s">
        <v>1170</v>
      </c>
    </row>
    <row r="283" spans="2:3" ht="12.75" x14ac:dyDescent="0.2">
      <c r="B283" s="505" t="s">
        <v>767</v>
      </c>
      <c r="C283" s="505" t="s">
        <v>1170</v>
      </c>
    </row>
    <row r="284" spans="2:3" ht="12.75" x14ac:dyDescent="0.2">
      <c r="B284" s="505" t="s">
        <v>768</v>
      </c>
      <c r="C284" s="505" t="s">
        <v>1170</v>
      </c>
    </row>
    <row r="285" spans="2:3" ht="12.75" x14ac:dyDescent="0.2">
      <c r="B285" s="505" t="s">
        <v>769</v>
      </c>
      <c r="C285" s="505" t="s">
        <v>1170</v>
      </c>
    </row>
    <row r="286" spans="2:3" ht="12.75" x14ac:dyDescent="0.2">
      <c r="B286" s="505" t="s">
        <v>596</v>
      </c>
      <c r="C286" s="505" t="s">
        <v>1170</v>
      </c>
    </row>
    <row r="287" spans="2:3" x14ac:dyDescent="0.2">
      <c r="B287" s="338"/>
      <c r="C287" s="338"/>
    </row>
    <row r="288" spans="2:3" x14ac:dyDescent="0.2">
      <c r="B288" s="338"/>
      <c r="C288" s="338"/>
    </row>
    <row r="289" spans="2:3" x14ac:dyDescent="0.2">
      <c r="B289" s="338"/>
      <c r="C289" s="338"/>
    </row>
    <row r="290" spans="2:3" x14ac:dyDescent="0.2">
      <c r="B290" s="338"/>
      <c r="C290" s="338"/>
    </row>
    <row r="291" spans="2:3" x14ac:dyDescent="0.2">
      <c r="B291" s="338"/>
      <c r="C291" s="338"/>
    </row>
    <row r="292" spans="2:3" x14ac:dyDescent="0.2">
      <c r="B292" s="338"/>
      <c r="C292" s="338"/>
    </row>
    <row r="293" spans="2:3" x14ac:dyDescent="0.2">
      <c r="B293" s="338"/>
      <c r="C293" s="338"/>
    </row>
    <row r="294" spans="2:3" x14ac:dyDescent="0.2">
      <c r="B294" s="338"/>
      <c r="C294" s="338"/>
    </row>
    <row r="295" spans="2:3" x14ac:dyDescent="0.2">
      <c r="B295" s="338"/>
      <c r="C295" s="338"/>
    </row>
    <row r="296" spans="2:3" x14ac:dyDescent="0.2">
      <c r="B296" s="338"/>
      <c r="C296" s="338"/>
    </row>
    <row r="297" spans="2:3" x14ac:dyDescent="0.2">
      <c r="B297" s="338"/>
      <c r="C297" s="338"/>
    </row>
    <row r="298" spans="2:3" x14ac:dyDescent="0.2">
      <c r="B298" s="338"/>
      <c r="C298" s="338"/>
    </row>
    <row r="299" spans="2:3" x14ac:dyDescent="0.2">
      <c r="B299" s="338"/>
      <c r="C299" s="338"/>
    </row>
    <row r="300" spans="2:3" x14ac:dyDescent="0.2">
      <c r="B300" s="338"/>
      <c r="C300" s="338"/>
    </row>
    <row r="301" spans="2:3" x14ac:dyDescent="0.2">
      <c r="B301" s="338"/>
      <c r="C301" s="338"/>
    </row>
    <row r="302" spans="2:3" x14ac:dyDescent="0.2">
      <c r="B302" s="338"/>
      <c r="C302" s="338"/>
    </row>
    <row r="303" spans="2:3" x14ac:dyDescent="0.2">
      <c r="B303" s="338"/>
      <c r="C303" s="338"/>
    </row>
    <row r="304" spans="2:3" x14ac:dyDescent="0.2">
      <c r="B304" s="338"/>
      <c r="C304" s="338"/>
    </row>
    <row r="305" spans="2:3" x14ac:dyDescent="0.2">
      <c r="B305" s="338"/>
      <c r="C305" s="338"/>
    </row>
    <row r="306" spans="2:3" x14ac:dyDescent="0.2">
      <c r="B306" s="338"/>
      <c r="C306" s="338"/>
    </row>
    <row r="307" spans="2:3" x14ac:dyDescent="0.2">
      <c r="B307" s="338"/>
      <c r="C307" s="338"/>
    </row>
    <row r="308" spans="2:3" x14ac:dyDescent="0.2">
      <c r="B308" s="337"/>
      <c r="C308" s="338"/>
    </row>
    <row r="309" spans="2:3" x14ac:dyDescent="0.2">
      <c r="B309" s="337"/>
      <c r="C309" s="338"/>
    </row>
    <row r="310" spans="2:3" x14ac:dyDescent="0.2">
      <c r="B310" s="337"/>
      <c r="C310" s="338"/>
    </row>
    <row r="311" spans="2:3" x14ac:dyDescent="0.2">
      <c r="B311" s="337"/>
      <c r="C311" s="338"/>
    </row>
    <row r="312" spans="2:3" x14ac:dyDescent="0.2">
      <c r="B312" s="337"/>
      <c r="C312" s="338"/>
    </row>
  </sheetData>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1">
    <tabColor indexed="46"/>
  </sheetPr>
  <dimension ref="D2:Y36"/>
  <sheetViews>
    <sheetView showGridLines="0" topLeftCell="A19" zoomScaleNormal="100" workbookViewId="0">
      <selection activeCell="N7" sqref="N7"/>
    </sheetView>
  </sheetViews>
  <sheetFormatPr defaultRowHeight="12.75" x14ac:dyDescent="0.2"/>
  <cols>
    <col min="23" max="23" width="19.7109375" style="312" customWidth="1"/>
    <col min="24" max="25" width="9.140625" style="312" customWidth="1"/>
  </cols>
  <sheetData>
    <row r="2" spans="4:24" x14ac:dyDescent="0.2">
      <c r="D2">
        <v>2020</v>
      </c>
    </row>
    <row r="4" spans="4:24" x14ac:dyDescent="0.2">
      <c r="X4" s="322" t="s">
        <v>543</v>
      </c>
    </row>
    <row r="5" spans="4:24" x14ac:dyDescent="0.2">
      <c r="X5" s="322" t="s">
        <v>544</v>
      </c>
    </row>
    <row r="6" spans="4:24" x14ac:dyDescent="0.2">
      <c r="X6" s="322"/>
    </row>
    <row r="7" spans="4:24" x14ac:dyDescent="0.2">
      <c r="W7" t="s">
        <v>545</v>
      </c>
      <c r="X7" s="322" t="s">
        <v>546</v>
      </c>
    </row>
    <row r="8" spans="4:24" x14ac:dyDescent="0.2">
      <c r="X8" s="322" t="s">
        <v>547</v>
      </c>
    </row>
    <row r="9" spans="4:24" x14ac:dyDescent="0.2">
      <c r="X9" s="322"/>
    </row>
    <row r="10" spans="4:24" x14ac:dyDescent="0.2">
      <c r="X10" s="322"/>
    </row>
    <row r="11" spans="4:24" x14ac:dyDescent="0.2">
      <c r="X11" s="322"/>
    </row>
    <row r="12" spans="4:24" x14ac:dyDescent="0.2">
      <c r="X12" s="322"/>
    </row>
    <row r="13" spans="4:24" x14ac:dyDescent="0.2">
      <c r="X13" s="322"/>
    </row>
    <row r="14" spans="4:24" x14ac:dyDescent="0.2">
      <c r="X14" s="322"/>
    </row>
    <row r="15" spans="4:24" x14ac:dyDescent="0.2">
      <c r="X15" s="322"/>
    </row>
    <row r="16" spans="4:24" x14ac:dyDescent="0.2">
      <c r="X16" s="322"/>
    </row>
    <row r="17" spans="23:24" x14ac:dyDescent="0.2">
      <c r="W17" t="s">
        <v>548</v>
      </c>
      <c r="X17" s="322">
        <v>2008</v>
      </c>
    </row>
    <row r="18" spans="23:24" x14ac:dyDescent="0.2">
      <c r="X18" s="322">
        <v>2009</v>
      </c>
    </row>
    <row r="19" spans="23:24" x14ac:dyDescent="0.2">
      <c r="X19" s="322">
        <v>2010</v>
      </c>
    </row>
    <row r="20" spans="23:24" x14ac:dyDescent="0.2">
      <c r="X20" s="322">
        <v>2011</v>
      </c>
    </row>
    <row r="21" spans="23:24" x14ac:dyDescent="0.2">
      <c r="X21" s="322">
        <v>2012</v>
      </c>
    </row>
    <row r="22" spans="23:24" x14ac:dyDescent="0.2">
      <c r="X22" s="322">
        <v>2013</v>
      </c>
    </row>
    <row r="23" spans="23:24" x14ac:dyDescent="0.2">
      <c r="X23" s="322">
        <v>2014</v>
      </c>
    </row>
    <row r="24" spans="23:24" x14ac:dyDescent="0.2">
      <c r="X24" s="322">
        <v>2015</v>
      </c>
    </row>
    <row r="25" spans="23:24" x14ac:dyDescent="0.2">
      <c r="X25" s="322">
        <v>2016</v>
      </c>
    </row>
    <row r="26" spans="23:24" x14ac:dyDescent="0.2">
      <c r="X26" s="322">
        <v>2017</v>
      </c>
    </row>
    <row r="27" spans="23:24" x14ac:dyDescent="0.2">
      <c r="X27" s="322">
        <v>2018</v>
      </c>
    </row>
    <row r="28" spans="23:24" x14ac:dyDescent="0.2">
      <c r="X28" s="322">
        <v>2019</v>
      </c>
    </row>
    <row r="29" spans="23:24" x14ac:dyDescent="0.2">
      <c r="X29" s="322">
        <v>2020</v>
      </c>
    </row>
    <row r="30" spans="23:24" x14ac:dyDescent="0.2">
      <c r="X30" s="322">
        <v>2021</v>
      </c>
    </row>
    <row r="31" spans="23:24" x14ac:dyDescent="0.2">
      <c r="X31" s="322">
        <v>2022</v>
      </c>
    </row>
    <row r="32" spans="23:24" x14ac:dyDescent="0.2">
      <c r="X32" s="322"/>
    </row>
    <row r="33" spans="23:24" x14ac:dyDescent="0.2">
      <c r="W33" t="s">
        <v>549</v>
      </c>
      <c r="X33" s="322">
        <v>12</v>
      </c>
    </row>
    <row r="34" spans="23:24" x14ac:dyDescent="0.2">
      <c r="W34" t="s">
        <v>550</v>
      </c>
      <c r="X34" s="323">
        <f>INDEX(X17:X31,X33,1)</f>
        <v>2019</v>
      </c>
    </row>
    <row r="36" spans="23:24" x14ac:dyDescent="0.2">
      <c r="W36" t="s">
        <v>551</v>
      </c>
      <c r="X36" s="316" t="str">
        <f>MTREF&amp;"/"&amp;RIGHT(MTREF,2)+1</f>
        <v>2019/20</v>
      </c>
    </row>
  </sheetData>
  <sheetProtection sheet="1" objects="1" scenarios="1"/>
  <phoneticPr fontId="2" type="noConversion"/>
  <pageMargins left="0.74803149606299213" right="0.74803149606299213" top="0.98425196850393704" bottom="0.98425196850393704" header="0.51181102362204722" footer="0.51181102362204722"/>
  <pageSetup paperSize="9" scale="70" orientation="portrait" horizontalDpi="200" verticalDpi="200" r:id="rId1"/>
  <headerFooter alignWithMargins="0"/>
  <drawing r:id="rId2"/>
  <legacyDrawing r:id="rId3"/>
  <controls>
    <mc:AlternateContent xmlns:mc="http://schemas.openxmlformats.org/markup-compatibility/2006">
      <mc:Choice Requires="x14">
        <control shapeId="5137" r:id="rId4" name="TextBox1">
          <controlPr defaultSize="0" autoLine="0" linkedCell="entity" r:id="rId5">
            <anchor moveWithCells="1">
              <from>
                <xdr:col>3</xdr:col>
                <xdr:colOff>466725</xdr:colOff>
                <xdr:row>8</xdr:row>
                <xdr:rowOff>19050</xdr:rowOff>
              </from>
              <to>
                <xdr:col>8</xdr:col>
                <xdr:colOff>0</xdr:colOff>
                <xdr:row>9</xdr:row>
                <xdr:rowOff>123825</xdr:rowOff>
              </to>
            </anchor>
          </controlPr>
        </control>
      </mc:Choice>
      <mc:Fallback>
        <control shapeId="5137" r:id="rId4" name="TextBox1"/>
      </mc:Fallback>
    </mc:AlternateContent>
    <mc:AlternateContent xmlns:mc="http://schemas.openxmlformats.org/markup-compatibility/2006">
      <mc:Choice Requires="x14">
        <control shapeId="5142" r:id="rId6" name="TextBox3">
          <controlPr defaultSize="0" autoLine="0" autoPict="0" r:id="rId7">
            <anchor moveWithCells="1">
              <from>
                <xdr:col>5</xdr:col>
                <xdr:colOff>219075</xdr:colOff>
                <xdr:row>10</xdr:row>
                <xdr:rowOff>123825</xdr:rowOff>
              </from>
              <to>
                <xdr:col>9</xdr:col>
                <xdr:colOff>371475</xdr:colOff>
                <xdr:row>12</xdr:row>
                <xdr:rowOff>66675</xdr:rowOff>
              </to>
            </anchor>
          </controlPr>
        </control>
      </mc:Choice>
      <mc:Fallback>
        <control shapeId="5142" r:id="rId6" name="TextBox3"/>
      </mc:Fallback>
    </mc:AlternateContent>
    <mc:AlternateContent xmlns:mc="http://schemas.openxmlformats.org/markup-compatibility/2006">
      <mc:Choice Requires="x14">
        <control shapeId="5143" r:id="rId8" name="TextBox4">
          <controlPr defaultSize="0" autoLine="0" autoPict="0" r:id="rId9">
            <anchor moveWithCells="1">
              <from>
                <xdr:col>5</xdr:col>
                <xdr:colOff>219075</xdr:colOff>
                <xdr:row>13</xdr:row>
                <xdr:rowOff>47625</xdr:rowOff>
              </from>
              <to>
                <xdr:col>7</xdr:col>
                <xdr:colOff>85725</xdr:colOff>
                <xdr:row>14</xdr:row>
                <xdr:rowOff>133350</xdr:rowOff>
              </to>
            </anchor>
          </controlPr>
        </control>
      </mc:Choice>
      <mc:Fallback>
        <control shapeId="5143" r:id="rId8" name="TextBox4"/>
      </mc:Fallback>
    </mc:AlternateContent>
    <mc:AlternateContent xmlns:mc="http://schemas.openxmlformats.org/markup-compatibility/2006">
      <mc:Choice Requires="x14">
        <control shapeId="5144" r:id="rId10" name="TextBox5">
          <controlPr defaultSize="0" autoLine="0" autoPict="0" r:id="rId11">
            <anchor moveWithCells="1">
              <from>
                <xdr:col>5</xdr:col>
                <xdr:colOff>238125</xdr:colOff>
                <xdr:row>15</xdr:row>
                <xdr:rowOff>123825</xdr:rowOff>
              </from>
              <to>
                <xdr:col>9</xdr:col>
                <xdr:colOff>400050</xdr:colOff>
                <xdr:row>17</xdr:row>
                <xdr:rowOff>57150</xdr:rowOff>
              </to>
            </anchor>
          </controlPr>
        </control>
      </mc:Choice>
      <mc:Fallback>
        <control shapeId="5144" r:id="rId10" name="TextBox5"/>
      </mc:Fallback>
    </mc:AlternateContent>
    <mc:AlternateContent xmlns:mc="http://schemas.openxmlformats.org/markup-compatibility/2006">
      <mc:Choice Requires="x14">
        <control shapeId="5145" r:id="rId12" name="TextBox6">
          <controlPr defaultSize="0" autoLine="0" autoPict="0" r:id="rId13">
            <anchor moveWithCells="1">
              <from>
                <xdr:col>9</xdr:col>
                <xdr:colOff>114300</xdr:colOff>
                <xdr:row>13</xdr:row>
                <xdr:rowOff>85725</xdr:rowOff>
              </from>
              <to>
                <xdr:col>10</xdr:col>
                <xdr:colOff>485775</xdr:colOff>
                <xdr:row>15</xdr:row>
                <xdr:rowOff>28575</xdr:rowOff>
              </to>
            </anchor>
          </controlPr>
        </control>
      </mc:Choice>
      <mc:Fallback>
        <control shapeId="5145" r:id="rId12" name="TextBox6"/>
      </mc:Fallback>
    </mc:AlternateContent>
    <mc:AlternateContent xmlns:mc="http://schemas.openxmlformats.org/markup-compatibility/2006">
      <mc:Choice Requires="x14">
        <control shapeId="5146" r:id="rId14" name="ToggleReferenceColumns">
          <controlPr defaultSize="0" autoLine="0" autoPict="0" r:id="rId15">
            <anchor moveWithCells="1">
              <from>
                <xdr:col>0</xdr:col>
                <xdr:colOff>590550</xdr:colOff>
                <xdr:row>34</xdr:row>
                <xdr:rowOff>104775</xdr:rowOff>
              </from>
              <to>
                <xdr:col>4</xdr:col>
                <xdr:colOff>85725</xdr:colOff>
                <xdr:row>36</xdr:row>
                <xdr:rowOff>28575</xdr:rowOff>
              </to>
            </anchor>
          </controlPr>
        </control>
      </mc:Choice>
      <mc:Fallback>
        <control shapeId="5146" r:id="rId14" name="ToggleReferenceColumns"/>
      </mc:Fallback>
    </mc:AlternateContent>
    <mc:AlternateContent xmlns:mc="http://schemas.openxmlformats.org/markup-compatibility/2006">
      <mc:Choice Requires="x14">
        <control shapeId="5147" r:id="rId16" name="TogglePreAuditColums">
          <controlPr defaultSize="0" autoLine="0" r:id="rId17">
            <anchor moveWithCells="1">
              <from>
                <xdr:col>0</xdr:col>
                <xdr:colOff>581025</xdr:colOff>
                <xdr:row>36</xdr:row>
                <xdr:rowOff>123825</xdr:rowOff>
              </from>
              <to>
                <xdr:col>4</xdr:col>
                <xdr:colOff>85725</xdr:colOff>
                <xdr:row>38</xdr:row>
                <xdr:rowOff>85725</xdr:rowOff>
              </to>
            </anchor>
          </controlPr>
        </control>
      </mc:Choice>
      <mc:Fallback>
        <control shapeId="5147" r:id="rId16" name="TogglePreAuditColums"/>
      </mc:Fallback>
    </mc:AlternateContent>
    <mc:AlternateContent xmlns:mc="http://schemas.openxmlformats.org/markup-compatibility/2006">
      <mc:Choice Requires="x14">
        <control shapeId="5148" r:id="rId18" name="ToggleHiddenColumns">
          <controlPr defaultSize="0" autoLine="0" autoPict="0" r:id="rId19">
            <anchor moveWithCells="1">
              <from>
                <xdr:col>0</xdr:col>
                <xdr:colOff>371475</xdr:colOff>
                <xdr:row>29</xdr:row>
                <xdr:rowOff>104775</xdr:rowOff>
              </from>
              <to>
                <xdr:col>3</xdr:col>
                <xdr:colOff>238125</xdr:colOff>
                <xdr:row>31</xdr:row>
                <xdr:rowOff>0</xdr:rowOff>
              </to>
            </anchor>
          </controlPr>
        </control>
      </mc:Choice>
      <mc:Fallback>
        <control shapeId="5148" r:id="rId18" name="ToggleHiddenColumns"/>
      </mc:Fallback>
    </mc:AlternateContent>
    <mc:AlternateContent xmlns:mc="http://schemas.openxmlformats.org/markup-compatibility/2006">
      <mc:Choice Requires="x14">
        <control shapeId="5140" r:id="rId20" name="Drop Down 20">
          <controlPr defaultSize="0" autoLine="0" autoPict="0">
            <anchor moveWithCells="1">
              <from>
                <xdr:col>5</xdr:col>
                <xdr:colOff>238125</xdr:colOff>
                <xdr:row>19</xdr:row>
                <xdr:rowOff>28575</xdr:rowOff>
              </from>
              <to>
                <xdr:col>6</xdr:col>
                <xdr:colOff>495300</xdr:colOff>
                <xdr:row>20</xdr:row>
                <xdr:rowOff>47625</xdr:rowOff>
              </to>
            </anchor>
          </controlPr>
        </control>
      </mc:Choice>
    </mc:AlternateContent>
    <mc:AlternateContent xmlns:mc="http://schemas.openxmlformats.org/markup-compatibility/2006">
      <mc:Choice Requires="x14">
        <control shapeId="5156" r:id="rId21" name="Drop Down 36">
          <controlPr defaultSize="0" autoLine="0" autoPict="0">
            <anchor moveWithCells="1">
              <from>
                <xdr:col>3</xdr:col>
                <xdr:colOff>466725</xdr:colOff>
                <xdr:row>5</xdr:row>
                <xdr:rowOff>28575</xdr:rowOff>
              </from>
              <to>
                <xdr:col>7</xdr:col>
                <xdr:colOff>600075</xdr:colOff>
                <xdr:row>6</xdr:row>
                <xdr:rowOff>38100</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AD308"/>
  <sheetViews>
    <sheetView zoomScaleNormal="100" workbookViewId="0">
      <pane xSplit="1" ySplit="1" topLeftCell="B258" activePane="bottomRight" state="frozen"/>
      <selection activeCell="E161" sqref="E161"/>
      <selection pane="topRight" activeCell="E161" sqref="E161"/>
      <selection pane="bottomLeft" activeCell="E161" sqref="E161"/>
      <selection pane="bottomRight" activeCell="B30" sqref="B30:C286"/>
    </sheetView>
  </sheetViews>
  <sheetFormatPr defaultRowHeight="11.25" x14ac:dyDescent="0.2"/>
  <cols>
    <col min="1" max="1" width="28.85546875" style="488" bestFit="1" customWidth="1"/>
    <col min="2" max="2" width="29.5703125" style="488" customWidth="1"/>
    <col min="3" max="3" width="29.42578125" style="488" customWidth="1"/>
    <col min="4" max="4" width="41.85546875" style="488" bestFit="1" customWidth="1"/>
    <col min="5" max="14" width="41.85546875" style="488" customWidth="1"/>
    <col min="15" max="15" width="43.5703125" style="488" bestFit="1" customWidth="1"/>
    <col min="16" max="16" width="1.28515625" style="488" customWidth="1"/>
    <col min="17" max="17" width="5" style="488" bestFit="1" customWidth="1"/>
    <col min="18" max="18" width="2.7109375" style="488" bestFit="1" customWidth="1"/>
    <col min="19" max="19" width="4.140625" style="488" bestFit="1" customWidth="1"/>
    <col min="20" max="20" width="9.7109375" style="488" bestFit="1" customWidth="1"/>
    <col min="21" max="21" width="9.5703125" style="488" bestFit="1" customWidth="1"/>
    <col min="22" max="22" width="3.85546875" style="488" bestFit="1" customWidth="1"/>
    <col min="23" max="23" width="6.7109375" style="488" bestFit="1" customWidth="1"/>
    <col min="24" max="24" width="4.28515625" style="488" bestFit="1" customWidth="1"/>
    <col min="25" max="25" width="9.140625" style="488"/>
    <col min="26" max="26" width="31.7109375" style="488" customWidth="1"/>
    <col min="27" max="27" width="26.7109375" style="488" customWidth="1"/>
    <col min="28" max="28" width="31.7109375" style="488" customWidth="1"/>
    <col min="29" max="29" width="23.140625" style="488" customWidth="1"/>
    <col min="30" max="256" width="9.140625" style="488"/>
    <col min="257" max="257" width="28.85546875" style="488" bestFit="1" customWidth="1"/>
    <col min="258" max="258" width="29.5703125" style="488" customWidth="1"/>
    <col min="259" max="259" width="29.42578125" style="488" customWidth="1"/>
    <col min="260" max="260" width="41.85546875" style="488" bestFit="1" customWidth="1"/>
    <col min="261" max="270" width="41.85546875" style="488" customWidth="1"/>
    <col min="271" max="271" width="43.5703125" style="488" bestFit="1" customWidth="1"/>
    <col min="272" max="272" width="1.28515625" style="488" customWidth="1"/>
    <col min="273" max="273" width="5" style="488" bestFit="1" customWidth="1"/>
    <col min="274" max="274" width="2.7109375" style="488" bestFit="1" customWidth="1"/>
    <col min="275" max="275" width="4.140625" style="488" bestFit="1" customWidth="1"/>
    <col min="276" max="276" width="9.7109375" style="488" bestFit="1" customWidth="1"/>
    <col min="277" max="277" width="9.5703125" style="488" bestFit="1" customWidth="1"/>
    <col min="278" max="278" width="3.85546875" style="488" bestFit="1" customWidth="1"/>
    <col min="279" max="279" width="6.7109375" style="488" bestFit="1" customWidth="1"/>
    <col min="280" max="280" width="4.28515625" style="488" bestFit="1" customWidth="1"/>
    <col min="281" max="281" width="9.140625" style="488"/>
    <col min="282" max="282" width="31.7109375" style="488" customWidth="1"/>
    <col min="283" max="283" width="26.7109375" style="488" customWidth="1"/>
    <col min="284" max="284" width="31.7109375" style="488" customWidth="1"/>
    <col min="285" max="285" width="23.140625" style="488" customWidth="1"/>
    <col min="286" max="512" width="9.140625" style="488"/>
    <col min="513" max="513" width="28.85546875" style="488" bestFit="1" customWidth="1"/>
    <col min="514" max="514" width="29.5703125" style="488" customWidth="1"/>
    <col min="515" max="515" width="29.42578125" style="488" customWidth="1"/>
    <col min="516" max="516" width="41.85546875" style="488" bestFit="1" customWidth="1"/>
    <col min="517" max="526" width="41.85546875" style="488" customWidth="1"/>
    <col min="527" max="527" width="43.5703125" style="488" bestFit="1" customWidth="1"/>
    <col min="528" max="528" width="1.28515625" style="488" customWidth="1"/>
    <col min="529" max="529" width="5" style="488" bestFit="1" customWidth="1"/>
    <col min="530" max="530" width="2.7109375" style="488" bestFit="1" customWidth="1"/>
    <col min="531" max="531" width="4.140625" style="488" bestFit="1" customWidth="1"/>
    <col min="532" max="532" width="9.7109375" style="488" bestFit="1" customWidth="1"/>
    <col min="533" max="533" width="9.5703125" style="488" bestFit="1" customWidth="1"/>
    <col min="534" max="534" width="3.85546875" style="488" bestFit="1" customWidth="1"/>
    <col min="535" max="535" width="6.7109375" style="488" bestFit="1" customWidth="1"/>
    <col min="536" max="536" width="4.28515625" style="488" bestFit="1" customWidth="1"/>
    <col min="537" max="537" width="9.140625" style="488"/>
    <col min="538" max="538" width="31.7109375" style="488" customWidth="1"/>
    <col min="539" max="539" width="26.7109375" style="488" customWidth="1"/>
    <col min="540" max="540" width="31.7109375" style="488" customWidth="1"/>
    <col min="541" max="541" width="23.140625" style="488" customWidth="1"/>
    <col min="542" max="768" width="9.140625" style="488"/>
    <col min="769" max="769" width="28.85546875" style="488" bestFit="1" customWidth="1"/>
    <col min="770" max="770" width="29.5703125" style="488" customWidth="1"/>
    <col min="771" max="771" width="29.42578125" style="488" customWidth="1"/>
    <col min="772" max="772" width="41.85546875" style="488" bestFit="1" customWidth="1"/>
    <col min="773" max="782" width="41.85546875" style="488" customWidth="1"/>
    <col min="783" max="783" width="43.5703125" style="488" bestFit="1" customWidth="1"/>
    <col min="784" max="784" width="1.28515625" style="488" customWidth="1"/>
    <col min="785" max="785" width="5" style="488" bestFit="1" customWidth="1"/>
    <col min="786" max="786" width="2.7109375" style="488" bestFit="1" customWidth="1"/>
    <col min="787" max="787" width="4.140625" style="488" bestFit="1" customWidth="1"/>
    <col min="788" max="788" width="9.7109375" style="488" bestFit="1" customWidth="1"/>
    <col min="789" max="789" width="9.5703125" style="488" bestFit="1" customWidth="1"/>
    <col min="790" max="790" width="3.85546875" style="488" bestFit="1" customWidth="1"/>
    <col min="791" max="791" width="6.7109375" style="488" bestFit="1" customWidth="1"/>
    <col min="792" max="792" width="4.28515625" style="488" bestFit="1" customWidth="1"/>
    <col min="793" max="793" width="9.140625" style="488"/>
    <col min="794" max="794" width="31.7109375" style="488" customWidth="1"/>
    <col min="795" max="795" width="26.7109375" style="488" customWidth="1"/>
    <col min="796" max="796" width="31.7109375" style="488" customWidth="1"/>
    <col min="797" max="797" width="23.140625" style="488" customWidth="1"/>
    <col min="798" max="1024" width="9.140625" style="488"/>
    <col min="1025" max="1025" width="28.85546875" style="488" bestFit="1" customWidth="1"/>
    <col min="1026" max="1026" width="29.5703125" style="488" customWidth="1"/>
    <col min="1027" max="1027" width="29.42578125" style="488" customWidth="1"/>
    <col min="1028" max="1028" width="41.85546875" style="488" bestFit="1" customWidth="1"/>
    <col min="1029" max="1038" width="41.85546875" style="488" customWidth="1"/>
    <col min="1039" max="1039" width="43.5703125" style="488" bestFit="1" customWidth="1"/>
    <col min="1040" max="1040" width="1.28515625" style="488" customWidth="1"/>
    <col min="1041" max="1041" width="5" style="488" bestFit="1" customWidth="1"/>
    <col min="1042" max="1042" width="2.7109375" style="488" bestFit="1" customWidth="1"/>
    <col min="1043" max="1043" width="4.140625" style="488" bestFit="1" customWidth="1"/>
    <col min="1044" max="1044" width="9.7109375" style="488" bestFit="1" customWidth="1"/>
    <col min="1045" max="1045" width="9.5703125" style="488" bestFit="1" customWidth="1"/>
    <col min="1046" max="1046" width="3.85546875" style="488" bestFit="1" customWidth="1"/>
    <col min="1047" max="1047" width="6.7109375" style="488" bestFit="1" customWidth="1"/>
    <col min="1048" max="1048" width="4.28515625" style="488" bestFit="1" customWidth="1"/>
    <col min="1049" max="1049" width="9.140625" style="488"/>
    <col min="1050" max="1050" width="31.7109375" style="488" customWidth="1"/>
    <col min="1051" max="1051" width="26.7109375" style="488" customWidth="1"/>
    <col min="1052" max="1052" width="31.7109375" style="488" customWidth="1"/>
    <col min="1053" max="1053" width="23.140625" style="488" customWidth="1"/>
    <col min="1054" max="1280" width="9.140625" style="488"/>
    <col min="1281" max="1281" width="28.85546875" style="488" bestFit="1" customWidth="1"/>
    <col min="1282" max="1282" width="29.5703125" style="488" customWidth="1"/>
    <col min="1283" max="1283" width="29.42578125" style="488" customWidth="1"/>
    <col min="1284" max="1284" width="41.85546875" style="488" bestFit="1" customWidth="1"/>
    <col min="1285" max="1294" width="41.85546875" style="488" customWidth="1"/>
    <col min="1295" max="1295" width="43.5703125" style="488" bestFit="1" customWidth="1"/>
    <col min="1296" max="1296" width="1.28515625" style="488" customWidth="1"/>
    <col min="1297" max="1297" width="5" style="488" bestFit="1" customWidth="1"/>
    <col min="1298" max="1298" width="2.7109375" style="488" bestFit="1" customWidth="1"/>
    <col min="1299" max="1299" width="4.140625" style="488" bestFit="1" customWidth="1"/>
    <col min="1300" max="1300" width="9.7109375" style="488" bestFit="1" customWidth="1"/>
    <col min="1301" max="1301" width="9.5703125" style="488" bestFit="1" customWidth="1"/>
    <col min="1302" max="1302" width="3.85546875" style="488" bestFit="1" customWidth="1"/>
    <col min="1303" max="1303" width="6.7109375" style="488" bestFit="1" customWidth="1"/>
    <col min="1304" max="1304" width="4.28515625" style="488" bestFit="1" customWidth="1"/>
    <col min="1305" max="1305" width="9.140625" style="488"/>
    <col min="1306" max="1306" width="31.7109375" style="488" customWidth="1"/>
    <col min="1307" max="1307" width="26.7109375" style="488" customWidth="1"/>
    <col min="1308" max="1308" width="31.7109375" style="488" customWidth="1"/>
    <col min="1309" max="1309" width="23.140625" style="488" customWidth="1"/>
    <col min="1310" max="1536" width="9.140625" style="488"/>
    <col min="1537" max="1537" width="28.85546875" style="488" bestFit="1" customWidth="1"/>
    <col min="1538" max="1538" width="29.5703125" style="488" customWidth="1"/>
    <col min="1539" max="1539" width="29.42578125" style="488" customWidth="1"/>
    <col min="1540" max="1540" width="41.85546875" style="488" bestFit="1" customWidth="1"/>
    <col min="1541" max="1550" width="41.85546875" style="488" customWidth="1"/>
    <col min="1551" max="1551" width="43.5703125" style="488" bestFit="1" customWidth="1"/>
    <col min="1552" max="1552" width="1.28515625" style="488" customWidth="1"/>
    <col min="1553" max="1553" width="5" style="488" bestFit="1" customWidth="1"/>
    <col min="1554" max="1554" width="2.7109375" style="488" bestFit="1" customWidth="1"/>
    <col min="1555" max="1555" width="4.140625" style="488" bestFit="1" customWidth="1"/>
    <col min="1556" max="1556" width="9.7109375" style="488" bestFit="1" customWidth="1"/>
    <col min="1557" max="1557" width="9.5703125" style="488" bestFit="1" customWidth="1"/>
    <col min="1558" max="1558" width="3.85546875" style="488" bestFit="1" customWidth="1"/>
    <col min="1559" max="1559" width="6.7109375" style="488" bestFit="1" customWidth="1"/>
    <col min="1560" max="1560" width="4.28515625" style="488" bestFit="1" customWidth="1"/>
    <col min="1561" max="1561" width="9.140625" style="488"/>
    <col min="1562" max="1562" width="31.7109375" style="488" customWidth="1"/>
    <col min="1563" max="1563" width="26.7109375" style="488" customWidth="1"/>
    <col min="1564" max="1564" width="31.7109375" style="488" customWidth="1"/>
    <col min="1565" max="1565" width="23.140625" style="488" customWidth="1"/>
    <col min="1566" max="1792" width="9.140625" style="488"/>
    <col min="1793" max="1793" width="28.85546875" style="488" bestFit="1" customWidth="1"/>
    <col min="1794" max="1794" width="29.5703125" style="488" customWidth="1"/>
    <col min="1795" max="1795" width="29.42578125" style="488" customWidth="1"/>
    <col min="1796" max="1796" width="41.85546875" style="488" bestFit="1" customWidth="1"/>
    <col min="1797" max="1806" width="41.85546875" style="488" customWidth="1"/>
    <col min="1807" max="1807" width="43.5703125" style="488" bestFit="1" customWidth="1"/>
    <col min="1808" max="1808" width="1.28515625" style="488" customWidth="1"/>
    <col min="1809" max="1809" width="5" style="488" bestFit="1" customWidth="1"/>
    <col min="1810" max="1810" width="2.7109375" style="488" bestFit="1" customWidth="1"/>
    <col min="1811" max="1811" width="4.140625" style="488" bestFit="1" customWidth="1"/>
    <col min="1812" max="1812" width="9.7109375" style="488" bestFit="1" customWidth="1"/>
    <col min="1813" max="1813" width="9.5703125" style="488" bestFit="1" customWidth="1"/>
    <col min="1814" max="1814" width="3.85546875" style="488" bestFit="1" customWidth="1"/>
    <col min="1815" max="1815" width="6.7109375" style="488" bestFit="1" customWidth="1"/>
    <col min="1816" max="1816" width="4.28515625" style="488" bestFit="1" customWidth="1"/>
    <col min="1817" max="1817" width="9.140625" style="488"/>
    <col min="1818" max="1818" width="31.7109375" style="488" customWidth="1"/>
    <col min="1819" max="1819" width="26.7109375" style="488" customWidth="1"/>
    <col min="1820" max="1820" width="31.7109375" style="488" customWidth="1"/>
    <col min="1821" max="1821" width="23.140625" style="488" customWidth="1"/>
    <col min="1822" max="2048" width="9.140625" style="488"/>
    <col min="2049" max="2049" width="28.85546875" style="488" bestFit="1" customWidth="1"/>
    <col min="2050" max="2050" width="29.5703125" style="488" customWidth="1"/>
    <col min="2051" max="2051" width="29.42578125" style="488" customWidth="1"/>
    <col min="2052" max="2052" width="41.85546875" style="488" bestFit="1" customWidth="1"/>
    <col min="2053" max="2062" width="41.85546875" style="488" customWidth="1"/>
    <col min="2063" max="2063" width="43.5703125" style="488" bestFit="1" customWidth="1"/>
    <col min="2064" max="2064" width="1.28515625" style="488" customWidth="1"/>
    <col min="2065" max="2065" width="5" style="488" bestFit="1" customWidth="1"/>
    <col min="2066" max="2066" width="2.7109375" style="488" bestFit="1" customWidth="1"/>
    <col min="2067" max="2067" width="4.140625" style="488" bestFit="1" customWidth="1"/>
    <col min="2068" max="2068" width="9.7109375" style="488" bestFit="1" customWidth="1"/>
    <col min="2069" max="2069" width="9.5703125" style="488" bestFit="1" customWidth="1"/>
    <col min="2070" max="2070" width="3.85546875" style="488" bestFit="1" customWidth="1"/>
    <col min="2071" max="2071" width="6.7109375" style="488" bestFit="1" customWidth="1"/>
    <col min="2072" max="2072" width="4.28515625" style="488" bestFit="1" customWidth="1"/>
    <col min="2073" max="2073" width="9.140625" style="488"/>
    <col min="2074" max="2074" width="31.7109375" style="488" customWidth="1"/>
    <col min="2075" max="2075" width="26.7109375" style="488" customWidth="1"/>
    <col min="2076" max="2076" width="31.7109375" style="488" customWidth="1"/>
    <col min="2077" max="2077" width="23.140625" style="488" customWidth="1"/>
    <col min="2078" max="2304" width="9.140625" style="488"/>
    <col min="2305" max="2305" width="28.85546875" style="488" bestFit="1" customWidth="1"/>
    <col min="2306" max="2306" width="29.5703125" style="488" customWidth="1"/>
    <col min="2307" max="2307" width="29.42578125" style="488" customWidth="1"/>
    <col min="2308" max="2308" width="41.85546875" style="488" bestFit="1" customWidth="1"/>
    <col min="2309" max="2318" width="41.85546875" style="488" customWidth="1"/>
    <col min="2319" max="2319" width="43.5703125" style="488" bestFit="1" customWidth="1"/>
    <col min="2320" max="2320" width="1.28515625" style="488" customWidth="1"/>
    <col min="2321" max="2321" width="5" style="488" bestFit="1" customWidth="1"/>
    <col min="2322" max="2322" width="2.7109375" style="488" bestFit="1" customWidth="1"/>
    <col min="2323" max="2323" width="4.140625" style="488" bestFit="1" customWidth="1"/>
    <col min="2324" max="2324" width="9.7109375" style="488" bestFit="1" customWidth="1"/>
    <col min="2325" max="2325" width="9.5703125" style="488" bestFit="1" customWidth="1"/>
    <col min="2326" max="2326" width="3.85546875" style="488" bestFit="1" customWidth="1"/>
    <col min="2327" max="2327" width="6.7109375" style="488" bestFit="1" customWidth="1"/>
    <col min="2328" max="2328" width="4.28515625" style="488" bestFit="1" customWidth="1"/>
    <col min="2329" max="2329" width="9.140625" style="488"/>
    <col min="2330" max="2330" width="31.7109375" style="488" customWidth="1"/>
    <col min="2331" max="2331" width="26.7109375" style="488" customWidth="1"/>
    <col min="2332" max="2332" width="31.7109375" style="488" customWidth="1"/>
    <col min="2333" max="2333" width="23.140625" style="488" customWidth="1"/>
    <col min="2334" max="2560" width="9.140625" style="488"/>
    <col min="2561" max="2561" width="28.85546875" style="488" bestFit="1" customWidth="1"/>
    <col min="2562" max="2562" width="29.5703125" style="488" customWidth="1"/>
    <col min="2563" max="2563" width="29.42578125" style="488" customWidth="1"/>
    <col min="2564" max="2564" width="41.85546875" style="488" bestFit="1" customWidth="1"/>
    <col min="2565" max="2574" width="41.85546875" style="488" customWidth="1"/>
    <col min="2575" max="2575" width="43.5703125" style="488" bestFit="1" customWidth="1"/>
    <col min="2576" max="2576" width="1.28515625" style="488" customWidth="1"/>
    <col min="2577" max="2577" width="5" style="488" bestFit="1" customWidth="1"/>
    <col min="2578" max="2578" width="2.7109375" style="488" bestFit="1" customWidth="1"/>
    <col min="2579" max="2579" width="4.140625" style="488" bestFit="1" customWidth="1"/>
    <col min="2580" max="2580" width="9.7109375" style="488" bestFit="1" customWidth="1"/>
    <col min="2581" max="2581" width="9.5703125" style="488" bestFit="1" customWidth="1"/>
    <col min="2582" max="2582" width="3.85546875" style="488" bestFit="1" customWidth="1"/>
    <col min="2583" max="2583" width="6.7109375" style="488" bestFit="1" customWidth="1"/>
    <col min="2584" max="2584" width="4.28515625" style="488" bestFit="1" customWidth="1"/>
    <col min="2585" max="2585" width="9.140625" style="488"/>
    <col min="2586" max="2586" width="31.7109375" style="488" customWidth="1"/>
    <col min="2587" max="2587" width="26.7109375" style="488" customWidth="1"/>
    <col min="2588" max="2588" width="31.7109375" style="488" customWidth="1"/>
    <col min="2589" max="2589" width="23.140625" style="488" customWidth="1"/>
    <col min="2590" max="2816" width="9.140625" style="488"/>
    <col min="2817" max="2817" width="28.85546875" style="488" bestFit="1" customWidth="1"/>
    <col min="2818" max="2818" width="29.5703125" style="488" customWidth="1"/>
    <col min="2819" max="2819" width="29.42578125" style="488" customWidth="1"/>
    <col min="2820" max="2820" width="41.85546875" style="488" bestFit="1" customWidth="1"/>
    <col min="2821" max="2830" width="41.85546875" style="488" customWidth="1"/>
    <col min="2831" max="2831" width="43.5703125" style="488" bestFit="1" customWidth="1"/>
    <col min="2832" max="2832" width="1.28515625" style="488" customWidth="1"/>
    <col min="2833" max="2833" width="5" style="488" bestFit="1" customWidth="1"/>
    <col min="2834" max="2834" width="2.7109375" style="488" bestFit="1" customWidth="1"/>
    <col min="2835" max="2835" width="4.140625" style="488" bestFit="1" customWidth="1"/>
    <col min="2836" max="2836" width="9.7109375" style="488" bestFit="1" customWidth="1"/>
    <col min="2837" max="2837" width="9.5703125" style="488" bestFit="1" customWidth="1"/>
    <col min="2838" max="2838" width="3.85546875" style="488" bestFit="1" customWidth="1"/>
    <col min="2839" max="2839" width="6.7109375" style="488" bestFit="1" customWidth="1"/>
    <col min="2840" max="2840" width="4.28515625" style="488" bestFit="1" customWidth="1"/>
    <col min="2841" max="2841" width="9.140625" style="488"/>
    <col min="2842" max="2842" width="31.7109375" style="488" customWidth="1"/>
    <col min="2843" max="2843" width="26.7109375" style="488" customWidth="1"/>
    <col min="2844" max="2844" width="31.7109375" style="488" customWidth="1"/>
    <col min="2845" max="2845" width="23.140625" style="488" customWidth="1"/>
    <col min="2846" max="3072" width="9.140625" style="488"/>
    <col min="3073" max="3073" width="28.85546875" style="488" bestFit="1" customWidth="1"/>
    <col min="3074" max="3074" width="29.5703125" style="488" customWidth="1"/>
    <col min="3075" max="3075" width="29.42578125" style="488" customWidth="1"/>
    <col min="3076" max="3076" width="41.85546875" style="488" bestFit="1" customWidth="1"/>
    <col min="3077" max="3086" width="41.85546875" style="488" customWidth="1"/>
    <col min="3087" max="3087" width="43.5703125" style="488" bestFit="1" customWidth="1"/>
    <col min="3088" max="3088" width="1.28515625" style="488" customWidth="1"/>
    <col min="3089" max="3089" width="5" style="488" bestFit="1" customWidth="1"/>
    <col min="3090" max="3090" width="2.7109375" style="488" bestFit="1" customWidth="1"/>
    <col min="3091" max="3091" width="4.140625" style="488" bestFit="1" customWidth="1"/>
    <col min="3092" max="3092" width="9.7109375" style="488" bestFit="1" customWidth="1"/>
    <col min="3093" max="3093" width="9.5703125" style="488" bestFit="1" customWidth="1"/>
    <col min="3094" max="3094" width="3.85546875" style="488" bestFit="1" customWidth="1"/>
    <col min="3095" max="3095" width="6.7109375" style="488" bestFit="1" customWidth="1"/>
    <col min="3096" max="3096" width="4.28515625" style="488" bestFit="1" customWidth="1"/>
    <col min="3097" max="3097" width="9.140625" style="488"/>
    <col min="3098" max="3098" width="31.7109375" style="488" customWidth="1"/>
    <col min="3099" max="3099" width="26.7109375" style="488" customWidth="1"/>
    <col min="3100" max="3100" width="31.7109375" style="488" customWidth="1"/>
    <col min="3101" max="3101" width="23.140625" style="488" customWidth="1"/>
    <col min="3102" max="3328" width="9.140625" style="488"/>
    <col min="3329" max="3329" width="28.85546875" style="488" bestFit="1" customWidth="1"/>
    <col min="3330" max="3330" width="29.5703125" style="488" customWidth="1"/>
    <col min="3331" max="3331" width="29.42578125" style="488" customWidth="1"/>
    <col min="3332" max="3332" width="41.85546875" style="488" bestFit="1" customWidth="1"/>
    <col min="3333" max="3342" width="41.85546875" style="488" customWidth="1"/>
    <col min="3343" max="3343" width="43.5703125" style="488" bestFit="1" customWidth="1"/>
    <col min="3344" max="3344" width="1.28515625" style="488" customWidth="1"/>
    <col min="3345" max="3345" width="5" style="488" bestFit="1" customWidth="1"/>
    <col min="3346" max="3346" width="2.7109375" style="488" bestFit="1" customWidth="1"/>
    <col min="3347" max="3347" width="4.140625" style="488" bestFit="1" customWidth="1"/>
    <col min="3348" max="3348" width="9.7109375" style="488" bestFit="1" customWidth="1"/>
    <col min="3349" max="3349" width="9.5703125" style="488" bestFit="1" customWidth="1"/>
    <col min="3350" max="3350" width="3.85546875" style="488" bestFit="1" customWidth="1"/>
    <col min="3351" max="3351" width="6.7109375" style="488" bestFit="1" customWidth="1"/>
    <col min="3352" max="3352" width="4.28515625" style="488" bestFit="1" customWidth="1"/>
    <col min="3353" max="3353" width="9.140625" style="488"/>
    <col min="3354" max="3354" width="31.7109375" style="488" customWidth="1"/>
    <col min="3355" max="3355" width="26.7109375" style="488" customWidth="1"/>
    <col min="3356" max="3356" width="31.7109375" style="488" customWidth="1"/>
    <col min="3357" max="3357" width="23.140625" style="488" customWidth="1"/>
    <col min="3358" max="3584" width="9.140625" style="488"/>
    <col min="3585" max="3585" width="28.85546875" style="488" bestFit="1" customWidth="1"/>
    <col min="3586" max="3586" width="29.5703125" style="488" customWidth="1"/>
    <col min="3587" max="3587" width="29.42578125" style="488" customWidth="1"/>
    <col min="3588" max="3588" width="41.85546875" style="488" bestFit="1" customWidth="1"/>
    <col min="3589" max="3598" width="41.85546875" style="488" customWidth="1"/>
    <col min="3599" max="3599" width="43.5703125" style="488" bestFit="1" customWidth="1"/>
    <col min="3600" max="3600" width="1.28515625" style="488" customWidth="1"/>
    <col min="3601" max="3601" width="5" style="488" bestFit="1" customWidth="1"/>
    <col min="3602" max="3602" width="2.7109375" style="488" bestFit="1" customWidth="1"/>
    <col min="3603" max="3603" width="4.140625" style="488" bestFit="1" customWidth="1"/>
    <col min="3604" max="3604" width="9.7109375" style="488" bestFit="1" customWidth="1"/>
    <col min="3605" max="3605" width="9.5703125" style="488" bestFit="1" customWidth="1"/>
    <col min="3606" max="3606" width="3.85546875" style="488" bestFit="1" customWidth="1"/>
    <col min="3607" max="3607" width="6.7109375" style="488" bestFit="1" customWidth="1"/>
    <col min="3608" max="3608" width="4.28515625" style="488" bestFit="1" customWidth="1"/>
    <col min="3609" max="3609" width="9.140625" style="488"/>
    <col min="3610" max="3610" width="31.7109375" style="488" customWidth="1"/>
    <col min="3611" max="3611" width="26.7109375" style="488" customWidth="1"/>
    <col min="3612" max="3612" width="31.7109375" style="488" customWidth="1"/>
    <col min="3613" max="3613" width="23.140625" style="488" customWidth="1"/>
    <col min="3614" max="3840" width="9.140625" style="488"/>
    <col min="3841" max="3841" width="28.85546875" style="488" bestFit="1" customWidth="1"/>
    <col min="3842" max="3842" width="29.5703125" style="488" customWidth="1"/>
    <col min="3843" max="3843" width="29.42578125" style="488" customWidth="1"/>
    <col min="3844" max="3844" width="41.85546875" style="488" bestFit="1" customWidth="1"/>
    <col min="3845" max="3854" width="41.85546875" style="488" customWidth="1"/>
    <col min="3855" max="3855" width="43.5703125" style="488" bestFit="1" customWidth="1"/>
    <col min="3856" max="3856" width="1.28515625" style="488" customWidth="1"/>
    <col min="3857" max="3857" width="5" style="488" bestFit="1" customWidth="1"/>
    <col min="3858" max="3858" width="2.7109375" style="488" bestFit="1" customWidth="1"/>
    <col min="3859" max="3859" width="4.140625" style="488" bestFit="1" customWidth="1"/>
    <col min="3860" max="3860" width="9.7109375" style="488" bestFit="1" customWidth="1"/>
    <col min="3861" max="3861" width="9.5703125" style="488" bestFit="1" customWidth="1"/>
    <col min="3862" max="3862" width="3.85546875" style="488" bestFit="1" customWidth="1"/>
    <col min="3863" max="3863" width="6.7109375" style="488" bestFit="1" customWidth="1"/>
    <col min="3864" max="3864" width="4.28515625" style="488" bestFit="1" customWidth="1"/>
    <col min="3865" max="3865" width="9.140625" style="488"/>
    <col min="3866" max="3866" width="31.7109375" style="488" customWidth="1"/>
    <col min="3867" max="3867" width="26.7109375" style="488" customWidth="1"/>
    <col min="3868" max="3868" width="31.7109375" style="488" customWidth="1"/>
    <col min="3869" max="3869" width="23.140625" style="488" customWidth="1"/>
    <col min="3870" max="4096" width="9.140625" style="488"/>
    <col min="4097" max="4097" width="28.85546875" style="488" bestFit="1" customWidth="1"/>
    <col min="4098" max="4098" width="29.5703125" style="488" customWidth="1"/>
    <col min="4099" max="4099" width="29.42578125" style="488" customWidth="1"/>
    <col min="4100" max="4100" width="41.85546875" style="488" bestFit="1" customWidth="1"/>
    <col min="4101" max="4110" width="41.85546875" style="488" customWidth="1"/>
    <col min="4111" max="4111" width="43.5703125" style="488" bestFit="1" customWidth="1"/>
    <col min="4112" max="4112" width="1.28515625" style="488" customWidth="1"/>
    <col min="4113" max="4113" width="5" style="488" bestFit="1" customWidth="1"/>
    <col min="4114" max="4114" width="2.7109375" style="488" bestFit="1" customWidth="1"/>
    <col min="4115" max="4115" width="4.140625" style="488" bestFit="1" customWidth="1"/>
    <col min="4116" max="4116" width="9.7109375" style="488" bestFit="1" customWidth="1"/>
    <col min="4117" max="4117" width="9.5703125" style="488" bestFit="1" customWidth="1"/>
    <col min="4118" max="4118" width="3.85546875" style="488" bestFit="1" customWidth="1"/>
    <col min="4119" max="4119" width="6.7109375" style="488" bestFit="1" customWidth="1"/>
    <col min="4120" max="4120" width="4.28515625" style="488" bestFit="1" customWidth="1"/>
    <col min="4121" max="4121" width="9.140625" style="488"/>
    <col min="4122" max="4122" width="31.7109375" style="488" customWidth="1"/>
    <col min="4123" max="4123" width="26.7109375" style="488" customWidth="1"/>
    <col min="4124" max="4124" width="31.7109375" style="488" customWidth="1"/>
    <col min="4125" max="4125" width="23.140625" style="488" customWidth="1"/>
    <col min="4126" max="4352" width="9.140625" style="488"/>
    <col min="4353" max="4353" width="28.85546875" style="488" bestFit="1" customWidth="1"/>
    <col min="4354" max="4354" width="29.5703125" style="488" customWidth="1"/>
    <col min="4355" max="4355" width="29.42578125" style="488" customWidth="1"/>
    <col min="4356" max="4356" width="41.85546875" style="488" bestFit="1" customWidth="1"/>
    <col min="4357" max="4366" width="41.85546875" style="488" customWidth="1"/>
    <col min="4367" max="4367" width="43.5703125" style="488" bestFit="1" customWidth="1"/>
    <col min="4368" max="4368" width="1.28515625" style="488" customWidth="1"/>
    <col min="4369" max="4369" width="5" style="488" bestFit="1" customWidth="1"/>
    <col min="4370" max="4370" width="2.7109375" style="488" bestFit="1" customWidth="1"/>
    <col min="4371" max="4371" width="4.140625" style="488" bestFit="1" customWidth="1"/>
    <col min="4372" max="4372" width="9.7109375" style="488" bestFit="1" customWidth="1"/>
    <col min="4373" max="4373" width="9.5703125" style="488" bestFit="1" customWidth="1"/>
    <col min="4374" max="4374" width="3.85546875" style="488" bestFit="1" customWidth="1"/>
    <col min="4375" max="4375" width="6.7109375" style="488" bestFit="1" customWidth="1"/>
    <col min="4376" max="4376" width="4.28515625" style="488" bestFit="1" customWidth="1"/>
    <col min="4377" max="4377" width="9.140625" style="488"/>
    <col min="4378" max="4378" width="31.7109375" style="488" customWidth="1"/>
    <col min="4379" max="4379" width="26.7109375" style="488" customWidth="1"/>
    <col min="4380" max="4380" width="31.7109375" style="488" customWidth="1"/>
    <col min="4381" max="4381" width="23.140625" style="488" customWidth="1"/>
    <col min="4382" max="4608" width="9.140625" style="488"/>
    <col min="4609" max="4609" width="28.85546875" style="488" bestFit="1" customWidth="1"/>
    <col min="4610" max="4610" width="29.5703125" style="488" customWidth="1"/>
    <col min="4611" max="4611" width="29.42578125" style="488" customWidth="1"/>
    <col min="4612" max="4612" width="41.85546875" style="488" bestFit="1" customWidth="1"/>
    <col min="4613" max="4622" width="41.85546875" style="488" customWidth="1"/>
    <col min="4623" max="4623" width="43.5703125" style="488" bestFit="1" customWidth="1"/>
    <col min="4624" max="4624" width="1.28515625" style="488" customWidth="1"/>
    <col min="4625" max="4625" width="5" style="488" bestFit="1" customWidth="1"/>
    <col min="4626" max="4626" width="2.7109375" style="488" bestFit="1" customWidth="1"/>
    <col min="4627" max="4627" width="4.140625" style="488" bestFit="1" customWidth="1"/>
    <col min="4628" max="4628" width="9.7109375" style="488" bestFit="1" customWidth="1"/>
    <col min="4629" max="4629" width="9.5703125" style="488" bestFit="1" customWidth="1"/>
    <col min="4630" max="4630" width="3.85546875" style="488" bestFit="1" customWidth="1"/>
    <col min="4631" max="4631" width="6.7109375" style="488" bestFit="1" customWidth="1"/>
    <col min="4632" max="4632" width="4.28515625" style="488" bestFit="1" customWidth="1"/>
    <col min="4633" max="4633" width="9.140625" style="488"/>
    <col min="4634" max="4634" width="31.7109375" style="488" customWidth="1"/>
    <col min="4635" max="4635" width="26.7109375" style="488" customWidth="1"/>
    <col min="4636" max="4636" width="31.7109375" style="488" customWidth="1"/>
    <col min="4637" max="4637" width="23.140625" style="488" customWidth="1"/>
    <col min="4638" max="4864" width="9.140625" style="488"/>
    <col min="4865" max="4865" width="28.85546875" style="488" bestFit="1" customWidth="1"/>
    <col min="4866" max="4866" width="29.5703125" style="488" customWidth="1"/>
    <col min="4867" max="4867" width="29.42578125" style="488" customWidth="1"/>
    <col min="4868" max="4868" width="41.85546875" style="488" bestFit="1" customWidth="1"/>
    <col min="4869" max="4878" width="41.85546875" style="488" customWidth="1"/>
    <col min="4879" max="4879" width="43.5703125" style="488" bestFit="1" customWidth="1"/>
    <col min="4880" max="4880" width="1.28515625" style="488" customWidth="1"/>
    <col min="4881" max="4881" width="5" style="488" bestFit="1" customWidth="1"/>
    <col min="4882" max="4882" width="2.7109375" style="488" bestFit="1" customWidth="1"/>
    <col min="4883" max="4883" width="4.140625" style="488" bestFit="1" customWidth="1"/>
    <col min="4884" max="4884" width="9.7109375" style="488" bestFit="1" customWidth="1"/>
    <col min="4885" max="4885" width="9.5703125" style="488" bestFit="1" customWidth="1"/>
    <col min="4886" max="4886" width="3.85546875" style="488" bestFit="1" customWidth="1"/>
    <col min="4887" max="4887" width="6.7109375" style="488" bestFit="1" customWidth="1"/>
    <col min="4888" max="4888" width="4.28515625" style="488" bestFit="1" customWidth="1"/>
    <col min="4889" max="4889" width="9.140625" style="488"/>
    <col min="4890" max="4890" width="31.7109375" style="488" customWidth="1"/>
    <col min="4891" max="4891" width="26.7109375" style="488" customWidth="1"/>
    <col min="4892" max="4892" width="31.7109375" style="488" customWidth="1"/>
    <col min="4893" max="4893" width="23.140625" style="488" customWidth="1"/>
    <col min="4894" max="5120" width="9.140625" style="488"/>
    <col min="5121" max="5121" width="28.85546875" style="488" bestFit="1" customWidth="1"/>
    <col min="5122" max="5122" width="29.5703125" style="488" customWidth="1"/>
    <col min="5123" max="5123" width="29.42578125" style="488" customWidth="1"/>
    <col min="5124" max="5124" width="41.85546875" style="488" bestFit="1" customWidth="1"/>
    <col min="5125" max="5134" width="41.85546875" style="488" customWidth="1"/>
    <col min="5135" max="5135" width="43.5703125" style="488" bestFit="1" customWidth="1"/>
    <col min="5136" max="5136" width="1.28515625" style="488" customWidth="1"/>
    <col min="5137" max="5137" width="5" style="488" bestFit="1" customWidth="1"/>
    <col min="5138" max="5138" width="2.7109375" style="488" bestFit="1" customWidth="1"/>
    <col min="5139" max="5139" width="4.140625" style="488" bestFit="1" customWidth="1"/>
    <col min="5140" max="5140" width="9.7109375" style="488" bestFit="1" customWidth="1"/>
    <col min="5141" max="5141" width="9.5703125" style="488" bestFit="1" customWidth="1"/>
    <col min="5142" max="5142" width="3.85546875" style="488" bestFit="1" customWidth="1"/>
    <col min="5143" max="5143" width="6.7109375" style="488" bestFit="1" customWidth="1"/>
    <col min="5144" max="5144" width="4.28515625" style="488" bestFit="1" customWidth="1"/>
    <col min="5145" max="5145" width="9.140625" style="488"/>
    <col min="5146" max="5146" width="31.7109375" style="488" customWidth="1"/>
    <col min="5147" max="5147" width="26.7109375" style="488" customWidth="1"/>
    <col min="5148" max="5148" width="31.7109375" style="488" customWidth="1"/>
    <col min="5149" max="5149" width="23.140625" style="488" customWidth="1"/>
    <col min="5150" max="5376" width="9.140625" style="488"/>
    <col min="5377" max="5377" width="28.85546875" style="488" bestFit="1" customWidth="1"/>
    <col min="5378" max="5378" width="29.5703125" style="488" customWidth="1"/>
    <col min="5379" max="5379" width="29.42578125" style="488" customWidth="1"/>
    <col min="5380" max="5380" width="41.85546875" style="488" bestFit="1" customWidth="1"/>
    <col min="5381" max="5390" width="41.85546875" style="488" customWidth="1"/>
    <col min="5391" max="5391" width="43.5703125" style="488" bestFit="1" customWidth="1"/>
    <col min="5392" max="5392" width="1.28515625" style="488" customWidth="1"/>
    <col min="5393" max="5393" width="5" style="488" bestFit="1" customWidth="1"/>
    <col min="5394" max="5394" width="2.7109375" style="488" bestFit="1" customWidth="1"/>
    <col min="5395" max="5395" width="4.140625" style="488" bestFit="1" customWidth="1"/>
    <col min="5396" max="5396" width="9.7109375" style="488" bestFit="1" customWidth="1"/>
    <col min="5397" max="5397" width="9.5703125" style="488" bestFit="1" customWidth="1"/>
    <col min="5398" max="5398" width="3.85546875" style="488" bestFit="1" customWidth="1"/>
    <col min="5399" max="5399" width="6.7109375" style="488" bestFit="1" customWidth="1"/>
    <col min="5400" max="5400" width="4.28515625" style="488" bestFit="1" customWidth="1"/>
    <col min="5401" max="5401" width="9.140625" style="488"/>
    <col min="5402" max="5402" width="31.7109375" style="488" customWidth="1"/>
    <col min="5403" max="5403" width="26.7109375" style="488" customWidth="1"/>
    <col min="5404" max="5404" width="31.7109375" style="488" customWidth="1"/>
    <col min="5405" max="5405" width="23.140625" style="488" customWidth="1"/>
    <col min="5406" max="5632" width="9.140625" style="488"/>
    <col min="5633" max="5633" width="28.85546875" style="488" bestFit="1" customWidth="1"/>
    <col min="5634" max="5634" width="29.5703125" style="488" customWidth="1"/>
    <col min="5635" max="5635" width="29.42578125" style="488" customWidth="1"/>
    <col min="5636" max="5636" width="41.85546875" style="488" bestFit="1" customWidth="1"/>
    <col min="5637" max="5646" width="41.85546875" style="488" customWidth="1"/>
    <col min="5647" max="5647" width="43.5703125" style="488" bestFit="1" customWidth="1"/>
    <col min="5648" max="5648" width="1.28515625" style="488" customWidth="1"/>
    <col min="5649" max="5649" width="5" style="488" bestFit="1" customWidth="1"/>
    <col min="5650" max="5650" width="2.7109375" style="488" bestFit="1" customWidth="1"/>
    <col min="5651" max="5651" width="4.140625" style="488" bestFit="1" customWidth="1"/>
    <col min="5652" max="5652" width="9.7109375" style="488" bestFit="1" customWidth="1"/>
    <col min="5653" max="5653" width="9.5703125" style="488" bestFit="1" customWidth="1"/>
    <col min="5654" max="5654" width="3.85546875" style="488" bestFit="1" customWidth="1"/>
    <col min="5655" max="5655" width="6.7109375" style="488" bestFit="1" customWidth="1"/>
    <col min="5656" max="5656" width="4.28515625" style="488" bestFit="1" customWidth="1"/>
    <col min="5657" max="5657" width="9.140625" style="488"/>
    <col min="5658" max="5658" width="31.7109375" style="488" customWidth="1"/>
    <col min="5659" max="5659" width="26.7109375" style="488" customWidth="1"/>
    <col min="5660" max="5660" width="31.7109375" style="488" customWidth="1"/>
    <col min="5661" max="5661" width="23.140625" style="488" customWidth="1"/>
    <col min="5662" max="5888" width="9.140625" style="488"/>
    <col min="5889" max="5889" width="28.85546875" style="488" bestFit="1" customWidth="1"/>
    <col min="5890" max="5890" width="29.5703125" style="488" customWidth="1"/>
    <col min="5891" max="5891" width="29.42578125" style="488" customWidth="1"/>
    <col min="5892" max="5892" width="41.85546875" style="488" bestFit="1" customWidth="1"/>
    <col min="5893" max="5902" width="41.85546875" style="488" customWidth="1"/>
    <col min="5903" max="5903" width="43.5703125" style="488" bestFit="1" customWidth="1"/>
    <col min="5904" max="5904" width="1.28515625" style="488" customWidth="1"/>
    <col min="5905" max="5905" width="5" style="488" bestFit="1" customWidth="1"/>
    <col min="5906" max="5906" width="2.7109375" style="488" bestFit="1" customWidth="1"/>
    <col min="5907" max="5907" width="4.140625" style="488" bestFit="1" customWidth="1"/>
    <col min="5908" max="5908" width="9.7109375" style="488" bestFit="1" customWidth="1"/>
    <col min="5909" max="5909" width="9.5703125" style="488" bestFit="1" customWidth="1"/>
    <col min="5910" max="5910" width="3.85546875" style="488" bestFit="1" customWidth="1"/>
    <col min="5911" max="5911" width="6.7109375" style="488" bestFit="1" customWidth="1"/>
    <col min="5912" max="5912" width="4.28515625" style="488" bestFit="1" customWidth="1"/>
    <col min="5913" max="5913" width="9.140625" style="488"/>
    <col min="5914" max="5914" width="31.7109375" style="488" customWidth="1"/>
    <col min="5915" max="5915" width="26.7109375" style="488" customWidth="1"/>
    <col min="5916" max="5916" width="31.7109375" style="488" customWidth="1"/>
    <col min="5917" max="5917" width="23.140625" style="488" customWidth="1"/>
    <col min="5918" max="6144" width="9.140625" style="488"/>
    <col min="6145" max="6145" width="28.85546875" style="488" bestFit="1" customWidth="1"/>
    <col min="6146" max="6146" width="29.5703125" style="488" customWidth="1"/>
    <col min="6147" max="6147" width="29.42578125" style="488" customWidth="1"/>
    <col min="6148" max="6148" width="41.85546875" style="488" bestFit="1" customWidth="1"/>
    <col min="6149" max="6158" width="41.85546875" style="488" customWidth="1"/>
    <col min="6159" max="6159" width="43.5703125" style="488" bestFit="1" customWidth="1"/>
    <col min="6160" max="6160" width="1.28515625" style="488" customWidth="1"/>
    <col min="6161" max="6161" width="5" style="488" bestFit="1" customWidth="1"/>
    <col min="6162" max="6162" width="2.7109375" style="488" bestFit="1" customWidth="1"/>
    <col min="6163" max="6163" width="4.140625" style="488" bestFit="1" customWidth="1"/>
    <col min="6164" max="6164" width="9.7109375" style="488" bestFit="1" customWidth="1"/>
    <col min="6165" max="6165" width="9.5703125" style="488" bestFit="1" customWidth="1"/>
    <col min="6166" max="6166" width="3.85546875" style="488" bestFit="1" customWidth="1"/>
    <col min="6167" max="6167" width="6.7109375" style="488" bestFit="1" customWidth="1"/>
    <col min="6168" max="6168" width="4.28515625" style="488" bestFit="1" customWidth="1"/>
    <col min="6169" max="6169" width="9.140625" style="488"/>
    <col min="6170" max="6170" width="31.7109375" style="488" customWidth="1"/>
    <col min="6171" max="6171" width="26.7109375" style="488" customWidth="1"/>
    <col min="6172" max="6172" width="31.7109375" style="488" customWidth="1"/>
    <col min="6173" max="6173" width="23.140625" style="488" customWidth="1"/>
    <col min="6174" max="6400" width="9.140625" style="488"/>
    <col min="6401" max="6401" width="28.85546875" style="488" bestFit="1" customWidth="1"/>
    <col min="6402" max="6402" width="29.5703125" style="488" customWidth="1"/>
    <col min="6403" max="6403" width="29.42578125" style="488" customWidth="1"/>
    <col min="6404" max="6404" width="41.85546875" style="488" bestFit="1" customWidth="1"/>
    <col min="6405" max="6414" width="41.85546875" style="488" customWidth="1"/>
    <col min="6415" max="6415" width="43.5703125" style="488" bestFit="1" customWidth="1"/>
    <col min="6416" max="6416" width="1.28515625" style="488" customWidth="1"/>
    <col min="6417" max="6417" width="5" style="488" bestFit="1" customWidth="1"/>
    <col min="6418" max="6418" width="2.7109375" style="488" bestFit="1" customWidth="1"/>
    <col min="6419" max="6419" width="4.140625" style="488" bestFit="1" customWidth="1"/>
    <col min="6420" max="6420" width="9.7109375" style="488" bestFit="1" customWidth="1"/>
    <col min="6421" max="6421" width="9.5703125" style="488" bestFit="1" customWidth="1"/>
    <col min="6422" max="6422" width="3.85546875" style="488" bestFit="1" customWidth="1"/>
    <col min="6423" max="6423" width="6.7109375" style="488" bestFit="1" customWidth="1"/>
    <col min="6424" max="6424" width="4.28515625" style="488" bestFit="1" customWidth="1"/>
    <col min="6425" max="6425" width="9.140625" style="488"/>
    <col min="6426" max="6426" width="31.7109375" style="488" customWidth="1"/>
    <col min="6427" max="6427" width="26.7109375" style="488" customWidth="1"/>
    <col min="6428" max="6428" width="31.7109375" style="488" customWidth="1"/>
    <col min="6429" max="6429" width="23.140625" style="488" customWidth="1"/>
    <col min="6430" max="6656" width="9.140625" style="488"/>
    <col min="6657" max="6657" width="28.85546875" style="488" bestFit="1" customWidth="1"/>
    <col min="6658" max="6658" width="29.5703125" style="488" customWidth="1"/>
    <col min="6659" max="6659" width="29.42578125" style="488" customWidth="1"/>
    <col min="6660" max="6660" width="41.85546875" style="488" bestFit="1" customWidth="1"/>
    <col min="6661" max="6670" width="41.85546875" style="488" customWidth="1"/>
    <col min="6671" max="6671" width="43.5703125" style="488" bestFit="1" customWidth="1"/>
    <col min="6672" max="6672" width="1.28515625" style="488" customWidth="1"/>
    <col min="6673" max="6673" width="5" style="488" bestFit="1" customWidth="1"/>
    <col min="6674" max="6674" width="2.7109375" style="488" bestFit="1" customWidth="1"/>
    <col min="6675" max="6675" width="4.140625" style="488" bestFit="1" customWidth="1"/>
    <col min="6676" max="6676" width="9.7109375" style="488" bestFit="1" customWidth="1"/>
    <col min="6677" max="6677" width="9.5703125" style="488" bestFit="1" customWidth="1"/>
    <col min="6678" max="6678" width="3.85546875" style="488" bestFit="1" customWidth="1"/>
    <col min="6679" max="6679" width="6.7109375" style="488" bestFit="1" customWidth="1"/>
    <col min="6680" max="6680" width="4.28515625" style="488" bestFit="1" customWidth="1"/>
    <col min="6681" max="6681" width="9.140625" style="488"/>
    <col min="6682" max="6682" width="31.7109375" style="488" customWidth="1"/>
    <col min="6683" max="6683" width="26.7109375" style="488" customWidth="1"/>
    <col min="6684" max="6684" width="31.7109375" style="488" customWidth="1"/>
    <col min="6685" max="6685" width="23.140625" style="488" customWidth="1"/>
    <col min="6686" max="6912" width="9.140625" style="488"/>
    <col min="6913" max="6913" width="28.85546875" style="488" bestFit="1" customWidth="1"/>
    <col min="6914" max="6914" width="29.5703125" style="488" customWidth="1"/>
    <col min="6915" max="6915" width="29.42578125" style="488" customWidth="1"/>
    <col min="6916" max="6916" width="41.85546875" style="488" bestFit="1" customWidth="1"/>
    <col min="6917" max="6926" width="41.85546875" style="488" customWidth="1"/>
    <col min="6927" max="6927" width="43.5703125" style="488" bestFit="1" customWidth="1"/>
    <col min="6928" max="6928" width="1.28515625" style="488" customWidth="1"/>
    <col min="6929" max="6929" width="5" style="488" bestFit="1" customWidth="1"/>
    <col min="6930" max="6930" width="2.7109375" style="488" bestFit="1" customWidth="1"/>
    <col min="6931" max="6931" width="4.140625" style="488" bestFit="1" customWidth="1"/>
    <col min="6932" max="6932" width="9.7109375" style="488" bestFit="1" customWidth="1"/>
    <col min="6933" max="6933" width="9.5703125" style="488" bestFit="1" customWidth="1"/>
    <col min="6934" max="6934" width="3.85546875" style="488" bestFit="1" customWidth="1"/>
    <col min="6935" max="6935" width="6.7109375" style="488" bestFit="1" customWidth="1"/>
    <col min="6936" max="6936" width="4.28515625" style="488" bestFit="1" customWidth="1"/>
    <col min="6937" max="6937" width="9.140625" style="488"/>
    <col min="6938" max="6938" width="31.7109375" style="488" customWidth="1"/>
    <col min="6939" max="6939" width="26.7109375" style="488" customWidth="1"/>
    <col min="6940" max="6940" width="31.7109375" style="488" customWidth="1"/>
    <col min="6941" max="6941" width="23.140625" style="488" customWidth="1"/>
    <col min="6942" max="7168" width="9.140625" style="488"/>
    <col min="7169" max="7169" width="28.85546875" style="488" bestFit="1" customWidth="1"/>
    <col min="7170" max="7170" width="29.5703125" style="488" customWidth="1"/>
    <col min="7171" max="7171" width="29.42578125" style="488" customWidth="1"/>
    <col min="7172" max="7172" width="41.85546875" style="488" bestFit="1" customWidth="1"/>
    <col min="7173" max="7182" width="41.85546875" style="488" customWidth="1"/>
    <col min="7183" max="7183" width="43.5703125" style="488" bestFit="1" customWidth="1"/>
    <col min="7184" max="7184" width="1.28515625" style="488" customWidth="1"/>
    <col min="7185" max="7185" width="5" style="488" bestFit="1" customWidth="1"/>
    <col min="7186" max="7186" width="2.7109375" style="488" bestFit="1" customWidth="1"/>
    <col min="7187" max="7187" width="4.140625" style="488" bestFit="1" customWidth="1"/>
    <col min="7188" max="7188" width="9.7109375" style="488" bestFit="1" customWidth="1"/>
    <col min="7189" max="7189" width="9.5703125" style="488" bestFit="1" customWidth="1"/>
    <col min="7190" max="7190" width="3.85546875" style="488" bestFit="1" customWidth="1"/>
    <col min="7191" max="7191" width="6.7109375" style="488" bestFit="1" customWidth="1"/>
    <col min="7192" max="7192" width="4.28515625" style="488" bestFit="1" customWidth="1"/>
    <col min="7193" max="7193" width="9.140625" style="488"/>
    <col min="7194" max="7194" width="31.7109375" style="488" customWidth="1"/>
    <col min="7195" max="7195" width="26.7109375" style="488" customWidth="1"/>
    <col min="7196" max="7196" width="31.7109375" style="488" customWidth="1"/>
    <col min="7197" max="7197" width="23.140625" style="488" customWidth="1"/>
    <col min="7198" max="7424" width="9.140625" style="488"/>
    <col min="7425" max="7425" width="28.85546875" style="488" bestFit="1" customWidth="1"/>
    <col min="7426" max="7426" width="29.5703125" style="488" customWidth="1"/>
    <col min="7427" max="7427" width="29.42578125" style="488" customWidth="1"/>
    <col min="7428" max="7428" width="41.85546875" style="488" bestFit="1" customWidth="1"/>
    <col min="7429" max="7438" width="41.85546875" style="488" customWidth="1"/>
    <col min="7439" max="7439" width="43.5703125" style="488" bestFit="1" customWidth="1"/>
    <col min="7440" max="7440" width="1.28515625" style="488" customWidth="1"/>
    <col min="7441" max="7441" width="5" style="488" bestFit="1" customWidth="1"/>
    <col min="7442" max="7442" width="2.7109375" style="488" bestFit="1" customWidth="1"/>
    <col min="7443" max="7443" width="4.140625" style="488" bestFit="1" customWidth="1"/>
    <col min="7444" max="7444" width="9.7109375" style="488" bestFit="1" customWidth="1"/>
    <col min="7445" max="7445" width="9.5703125" style="488" bestFit="1" customWidth="1"/>
    <col min="7446" max="7446" width="3.85546875" style="488" bestFit="1" customWidth="1"/>
    <col min="7447" max="7447" width="6.7109375" style="488" bestFit="1" customWidth="1"/>
    <col min="7448" max="7448" width="4.28515625" style="488" bestFit="1" customWidth="1"/>
    <col min="7449" max="7449" width="9.140625" style="488"/>
    <col min="7450" max="7450" width="31.7109375" style="488" customWidth="1"/>
    <col min="7451" max="7451" width="26.7109375" style="488" customWidth="1"/>
    <col min="7452" max="7452" width="31.7109375" style="488" customWidth="1"/>
    <col min="7453" max="7453" width="23.140625" style="488" customWidth="1"/>
    <col min="7454" max="7680" width="9.140625" style="488"/>
    <col min="7681" max="7681" width="28.85546875" style="488" bestFit="1" customWidth="1"/>
    <col min="7682" max="7682" width="29.5703125" style="488" customWidth="1"/>
    <col min="7683" max="7683" width="29.42578125" style="488" customWidth="1"/>
    <col min="7684" max="7684" width="41.85546875" style="488" bestFit="1" customWidth="1"/>
    <col min="7685" max="7694" width="41.85546875" style="488" customWidth="1"/>
    <col min="7695" max="7695" width="43.5703125" style="488" bestFit="1" customWidth="1"/>
    <col min="7696" max="7696" width="1.28515625" style="488" customWidth="1"/>
    <col min="7697" max="7697" width="5" style="488" bestFit="1" customWidth="1"/>
    <col min="7698" max="7698" width="2.7109375" style="488" bestFit="1" customWidth="1"/>
    <col min="7699" max="7699" width="4.140625" style="488" bestFit="1" customWidth="1"/>
    <col min="7700" max="7700" width="9.7109375" style="488" bestFit="1" customWidth="1"/>
    <col min="7701" max="7701" width="9.5703125" style="488" bestFit="1" customWidth="1"/>
    <col min="7702" max="7702" width="3.85546875" style="488" bestFit="1" customWidth="1"/>
    <col min="7703" max="7703" width="6.7109375" style="488" bestFit="1" customWidth="1"/>
    <col min="7704" max="7704" width="4.28515625" style="488" bestFit="1" customWidth="1"/>
    <col min="7705" max="7705" width="9.140625" style="488"/>
    <col min="7706" max="7706" width="31.7109375" style="488" customWidth="1"/>
    <col min="7707" max="7707" width="26.7109375" style="488" customWidth="1"/>
    <col min="7708" max="7708" width="31.7109375" style="488" customWidth="1"/>
    <col min="7709" max="7709" width="23.140625" style="488" customWidth="1"/>
    <col min="7710" max="7936" width="9.140625" style="488"/>
    <col min="7937" max="7937" width="28.85546875" style="488" bestFit="1" customWidth="1"/>
    <col min="7938" max="7938" width="29.5703125" style="488" customWidth="1"/>
    <col min="7939" max="7939" width="29.42578125" style="488" customWidth="1"/>
    <col min="7940" max="7940" width="41.85546875" style="488" bestFit="1" customWidth="1"/>
    <col min="7941" max="7950" width="41.85546875" style="488" customWidth="1"/>
    <col min="7951" max="7951" width="43.5703125" style="488" bestFit="1" customWidth="1"/>
    <col min="7952" max="7952" width="1.28515625" style="488" customWidth="1"/>
    <col min="7953" max="7953" width="5" style="488" bestFit="1" customWidth="1"/>
    <col min="7954" max="7954" width="2.7109375" style="488" bestFit="1" customWidth="1"/>
    <col min="7955" max="7955" width="4.140625" style="488" bestFit="1" customWidth="1"/>
    <col min="7956" max="7956" width="9.7109375" style="488" bestFit="1" customWidth="1"/>
    <col min="7957" max="7957" width="9.5703125" style="488" bestFit="1" customWidth="1"/>
    <col min="7958" max="7958" width="3.85546875" style="488" bestFit="1" customWidth="1"/>
    <col min="7959" max="7959" width="6.7109375" style="488" bestFit="1" customWidth="1"/>
    <col min="7960" max="7960" width="4.28515625" style="488" bestFit="1" customWidth="1"/>
    <col min="7961" max="7961" width="9.140625" style="488"/>
    <col min="7962" max="7962" width="31.7109375" style="488" customWidth="1"/>
    <col min="7963" max="7963" width="26.7109375" style="488" customWidth="1"/>
    <col min="7964" max="7964" width="31.7109375" style="488" customWidth="1"/>
    <col min="7965" max="7965" width="23.140625" style="488" customWidth="1"/>
    <col min="7966" max="8192" width="9.140625" style="488"/>
    <col min="8193" max="8193" width="28.85546875" style="488" bestFit="1" customWidth="1"/>
    <col min="8194" max="8194" width="29.5703125" style="488" customWidth="1"/>
    <col min="8195" max="8195" width="29.42578125" style="488" customWidth="1"/>
    <col min="8196" max="8196" width="41.85546875" style="488" bestFit="1" customWidth="1"/>
    <col min="8197" max="8206" width="41.85546875" style="488" customWidth="1"/>
    <col min="8207" max="8207" width="43.5703125" style="488" bestFit="1" customWidth="1"/>
    <col min="8208" max="8208" width="1.28515625" style="488" customWidth="1"/>
    <col min="8209" max="8209" width="5" style="488" bestFit="1" customWidth="1"/>
    <col min="8210" max="8210" width="2.7109375" style="488" bestFit="1" customWidth="1"/>
    <col min="8211" max="8211" width="4.140625" style="488" bestFit="1" customWidth="1"/>
    <col min="8212" max="8212" width="9.7109375" style="488" bestFit="1" customWidth="1"/>
    <col min="8213" max="8213" width="9.5703125" style="488" bestFit="1" customWidth="1"/>
    <col min="8214" max="8214" width="3.85546875" style="488" bestFit="1" customWidth="1"/>
    <col min="8215" max="8215" width="6.7109375" style="488" bestFit="1" customWidth="1"/>
    <col min="8216" max="8216" width="4.28515625" style="488" bestFit="1" customWidth="1"/>
    <col min="8217" max="8217" width="9.140625" style="488"/>
    <col min="8218" max="8218" width="31.7109375" style="488" customWidth="1"/>
    <col min="8219" max="8219" width="26.7109375" style="488" customWidth="1"/>
    <col min="8220" max="8220" width="31.7109375" style="488" customWidth="1"/>
    <col min="8221" max="8221" width="23.140625" style="488" customWidth="1"/>
    <col min="8222" max="8448" width="9.140625" style="488"/>
    <col min="8449" max="8449" width="28.85546875" style="488" bestFit="1" customWidth="1"/>
    <col min="8450" max="8450" width="29.5703125" style="488" customWidth="1"/>
    <col min="8451" max="8451" width="29.42578125" style="488" customWidth="1"/>
    <col min="8452" max="8452" width="41.85546875" style="488" bestFit="1" customWidth="1"/>
    <col min="8453" max="8462" width="41.85546875" style="488" customWidth="1"/>
    <col min="8463" max="8463" width="43.5703125" style="488" bestFit="1" customWidth="1"/>
    <col min="8464" max="8464" width="1.28515625" style="488" customWidth="1"/>
    <col min="8465" max="8465" width="5" style="488" bestFit="1" customWidth="1"/>
    <col min="8466" max="8466" width="2.7109375" style="488" bestFit="1" customWidth="1"/>
    <col min="8467" max="8467" width="4.140625" style="488" bestFit="1" customWidth="1"/>
    <col min="8468" max="8468" width="9.7109375" style="488" bestFit="1" customWidth="1"/>
    <col min="8469" max="8469" width="9.5703125" style="488" bestFit="1" customWidth="1"/>
    <col min="8470" max="8470" width="3.85546875" style="488" bestFit="1" customWidth="1"/>
    <col min="8471" max="8471" width="6.7109375" style="488" bestFit="1" customWidth="1"/>
    <col min="8472" max="8472" width="4.28515625" style="488" bestFit="1" customWidth="1"/>
    <col min="8473" max="8473" width="9.140625" style="488"/>
    <col min="8474" max="8474" width="31.7109375" style="488" customWidth="1"/>
    <col min="8475" max="8475" width="26.7109375" style="488" customWidth="1"/>
    <col min="8476" max="8476" width="31.7109375" style="488" customWidth="1"/>
    <col min="8477" max="8477" width="23.140625" style="488" customWidth="1"/>
    <col min="8478" max="8704" width="9.140625" style="488"/>
    <col min="8705" max="8705" width="28.85546875" style="488" bestFit="1" customWidth="1"/>
    <col min="8706" max="8706" width="29.5703125" style="488" customWidth="1"/>
    <col min="8707" max="8707" width="29.42578125" style="488" customWidth="1"/>
    <col min="8708" max="8708" width="41.85546875" style="488" bestFit="1" customWidth="1"/>
    <col min="8709" max="8718" width="41.85546875" style="488" customWidth="1"/>
    <col min="8719" max="8719" width="43.5703125" style="488" bestFit="1" customWidth="1"/>
    <col min="8720" max="8720" width="1.28515625" style="488" customWidth="1"/>
    <col min="8721" max="8721" width="5" style="488" bestFit="1" customWidth="1"/>
    <col min="8722" max="8722" width="2.7109375" style="488" bestFit="1" customWidth="1"/>
    <col min="8723" max="8723" width="4.140625" style="488" bestFit="1" customWidth="1"/>
    <col min="8724" max="8724" width="9.7109375" style="488" bestFit="1" customWidth="1"/>
    <col min="8725" max="8725" width="9.5703125" style="488" bestFit="1" customWidth="1"/>
    <col min="8726" max="8726" width="3.85546875" style="488" bestFit="1" customWidth="1"/>
    <col min="8727" max="8727" width="6.7109375" style="488" bestFit="1" customWidth="1"/>
    <col min="8728" max="8728" width="4.28515625" style="488" bestFit="1" customWidth="1"/>
    <col min="8729" max="8729" width="9.140625" style="488"/>
    <col min="8730" max="8730" width="31.7109375" style="488" customWidth="1"/>
    <col min="8731" max="8731" width="26.7109375" style="488" customWidth="1"/>
    <col min="8732" max="8732" width="31.7109375" style="488" customWidth="1"/>
    <col min="8733" max="8733" width="23.140625" style="488" customWidth="1"/>
    <col min="8734" max="8960" width="9.140625" style="488"/>
    <col min="8961" max="8961" width="28.85546875" style="488" bestFit="1" customWidth="1"/>
    <col min="8962" max="8962" width="29.5703125" style="488" customWidth="1"/>
    <col min="8963" max="8963" width="29.42578125" style="488" customWidth="1"/>
    <col min="8964" max="8964" width="41.85546875" style="488" bestFit="1" customWidth="1"/>
    <col min="8965" max="8974" width="41.85546875" style="488" customWidth="1"/>
    <col min="8975" max="8975" width="43.5703125" style="488" bestFit="1" customWidth="1"/>
    <col min="8976" max="8976" width="1.28515625" style="488" customWidth="1"/>
    <col min="8977" max="8977" width="5" style="488" bestFit="1" customWidth="1"/>
    <col min="8978" max="8978" width="2.7109375" style="488" bestFit="1" customWidth="1"/>
    <col min="8979" max="8979" width="4.140625" style="488" bestFit="1" customWidth="1"/>
    <col min="8980" max="8980" width="9.7109375" style="488" bestFit="1" customWidth="1"/>
    <col min="8981" max="8981" width="9.5703125" style="488" bestFit="1" customWidth="1"/>
    <col min="8982" max="8982" width="3.85546875" style="488" bestFit="1" customWidth="1"/>
    <col min="8983" max="8983" width="6.7109375" style="488" bestFit="1" customWidth="1"/>
    <col min="8984" max="8984" width="4.28515625" style="488" bestFit="1" customWidth="1"/>
    <col min="8985" max="8985" width="9.140625" style="488"/>
    <col min="8986" max="8986" width="31.7109375" style="488" customWidth="1"/>
    <col min="8987" max="8987" width="26.7109375" style="488" customWidth="1"/>
    <col min="8988" max="8988" width="31.7109375" style="488" customWidth="1"/>
    <col min="8989" max="8989" width="23.140625" style="488" customWidth="1"/>
    <col min="8990" max="9216" width="9.140625" style="488"/>
    <col min="9217" max="9217" width="28.85546875" style="488" bestFit="1" customWidth="1"/>
    <col min="9218" max="9218" width="29.5703125" style="488" customWidth="1"/>
    <col min="9219" max="9219" width="29.42578125" style="488" customWidth="1"/>
    <col min="9220" max="9220" width="41.85546875" style="488" bestFit="1" customWidth="1"/>
    <col min="9221" max="9230" width="41.85546875" style="488" customWidth="1"/>
    <col min="9231" max="9231" width="43.5703125" style="488" bestFit="1" customWidth="1"/>
    <col min="9232" max="9232" width="1.28515625" style="488" customWidth="1"/>
    <col min="9233" max="9233" width="5" style="488" bestFit="1" customWidth="1"/>
    <col min="9234" max="9234" width="2.7109375" style="488" bestFit="1" customWidth="1"/>
    <col min="9235" max="9235" width="4.140625" style="488" bestFit="1" customWidth="1"/>
    <col min="9236" max="9236" width="9.7109375" style="488" bestFit="1" customWidth="1"/>
    <col min="9237" max="9237" width="9.5703125" style="488" bestFit="1" customWidth="1"/>
    <col min="9238" max="9238" width="3.85546875" style="488" bestFit="1" customWidth="1"/>
    <col min="9239" max="9239" width="6.7109375" style="488" bestFit="1" customWidth="1"/>
    <col min="9240" max="9240" width="4.28515625" style="488" bestFit="1" customWidth="1"/>
    <col min="9241" max="9241" width="9.140625" style="488"/>
    <col min="9242" max="9242" width="31.7109375" style="488" customWidth="1"/>
    <col min="9243" max="9243" width="26.7109375" style="488" customWidth="1"/>
    <col min="9244" max="9244" width="31.7109375" style="488" customWidth="1"/>
    <col min="9245" max="9245" width="23.140625" style="488" customWidth="1"/>
    <col min="9246" max="9472" width="9.140625" style="488"/>
    <col min="9473" max="9473" width="28.85546875" style="488" bestFit="1" customWidth="1"/>
    <col min="9474" max="9474" width="29.5703125" style="488" customWidth="1"/>
    <col min="9475" max="9475" width="29.42578125" style="488" customWidth="1"/>
    <col min="9476" max="9476" width="41.85546875" style="488" bestFit="1" customWidth="1"/>
    <col min="9477" max="9486" width="41.85546875" style="488" customWidth="1"/>
    <col min="9487" max="9487" width="43.5703125" style="488" bestFit="1" customWidth="1"/>
    <col min="9488" max="9488" width="1.28515625" style="488" customWidth="1"/>
    <col min="9489" max="9489" width="5" style="488" bestFit="1" customWidth="1"/>
    <col min="9490" max="9490" width="2.7109375" style="488" bestFit="1" customWidth="1"/>
    <col min="9491" max="9491" width="4.140625" style="488" bestFit="1" customWidth="1"/>
    <col min="9492" max="9492" width="9.7109375" style="488" bestFit="1" customWidth="1"/>
    <col min="9493" max="9493" width="9.5703125" style="488" bestFit="1" customWidth="1"/>
    <col min="9494" max="9494" width="3.85546875" style="488" bestFit="1" customWidth="1"/>
    <col min="9495" max="9495" width="6.7109375" style="488" bestFit="1" customWidth="1"/>
    <col min="9496" max="9496" width="4.28515625" style="488" bestFit="1" customWidth="1"/>
    <col min="9497" max="9497" width="9.140625" style="488"/>
    <col min="9498" max="9498" width="31.7109375" style="488" customWidth="1"/>
    <col min="9499" max="9499" width="26.7109375" style="488" customWidth="1"/>
    <col min="9500" max="9500" width="31.7109375" style="488" customWidth="1"/>
    <col min="9501" max="9501" width="23.140625" style="488" customWidth="1"/>
    <col min="9502" max="9728" width="9.140625" style="488"/>
    <col min="9729" max="9729" width="28.85546875" style="488" bestFit="1" customWidth="1"/>
    <col min="9730" max="9730" width="29.5703125" style="488" customWidth="1"/>
    <col min="9731" max="9731" width="29.42578125" style="488" customWidth="1"/>
    <col min="9732" max="9732" width="41.85546875" style="488" bestFit="1" customWidth="1"/>
    <col min="9733" max="9742" width="41.85546875" style="488" customWidth="1"/>
    <col min="9743" max="9743" width="43.5703125" style="488" bestFit="1" customWidth="1"/>
    <col min="9744" max="9744" width="1.28515625" style="488" customWidth="1"/>
    <col min="9745" max="9745" width="5" style="488" bestFit="1" customWidth="1"/>
    <col min="9746" max="9746" width="2.7109375" style="488" bestFit="1" customWidth="1"/>
    <col min="9747" max="9747" width="4.140625" style="488" bestFit="1" customWidth="1"/>
    <col min="9748" max="9748" width="9.7109375" style="488" bestFit="1" customWidth="1"/>
    <col min="9749" max="9749" width="9.5703125" style="488" bestFit="1" customWidth="1"/>
    <col min="9750" max="9750" width="3.85546875" style="488" bestFit="1" customWidth="1"/>
    <col min="9751" max="9751" width="6.7109375" style="488" bestFit="1" customWidth="1"/>
    <col min="9752" max="9752" width="4.28515625" style="488" bestFit="1" customWidth="1"/>
    <col min="9753" max="9753" width="9.140625" style="488"/>
    <col min="9754" max="9754" width="31.7109375" style="488" customWidth="1"/>
    <col min="9755" max="9755" width="26.7109375" style="488" customWidth="1"/>
    <col min="9756" max="9756" width="31.7109375" style="488" customWidth="1"/>
    <col min="9757" max="9757" width="23.140625" style="488" customWidth="1"/>
    <col min="9758" max="9984" width="9.140625" style="488"/>
    <col min="9985" max="9985" width="28.85546875" style="488" bestFit="1" customWidth="1"/>
    <col min="9986" max="9986" width="29.5703125" style="488" customWidth="1"/>
    <col min="9987" max="9987" width="29.42578125" style="488" customWidth="1"/>
    <col min="9988" max="9988" width="41.85546875" style="488" bestFit="1" customWidth="1"/>
    <col min="9989" max="9998" width="41.85546875" style="488" customWidth="1"/>
    <col min="9999" max="9999" width="43.5703125" style="488" bestFit="1" customWidth="1"/>
    <col min="10000" max="10000" width="1.28515625" style="488" customWidth="1"/>
    <col min="10001" max="10001" width="5" style="488" bestFit="1" customWidth="1"/>
    <col min="10002" max="10002" width="2.7109375" style="488" bestFit="1" customWidth="1"/>
    <col min="10003" max="10003" width="4.140625" style="488" bestFit="1" customWidth="1"/>
    <col min="10004" max="10004" width="9.7109375" style="488" bestFit="1" customWidth="1"/>
    <col min="10005" max="10005" width="9.5703125" style="488" bestFit="1" customWidth="1"/>
    <col min="10006" max="10006" width="3.85546875" style="488" bestFit="1" customWidth="1"/>
    <col min="10007" max="10007" width="6.7109375" style="488" bestFit="1" customWidth="1"/>
    <col min="10008" max="10008" width="4.28515625" style="488" bestFit="1" customWidth="1"/>
    <col min="10009" max="10009" width="9.140625" style="488"/>
    <col min="10010" max="10010" width="31.7109375" style="488" customWidth="1"/>
    <col min="10011" max="10011" width="26.7109375" style="488" customWidth="1"/>
    <col min="10012" max="10012" width="31.7109375" style="488" customWidth="1"/>
    <col min="10013" max="10013" width="23.140625" style="488" customWidth="1"/>
    <col min="10014" max="10240" width="9.140625" style="488"/>
    <col min="10241" max="10241" width="28.85546875" style="488" bestFit="1" customWidth="1"/>
    <col min="10242" max="10242" width="29.5703125" style="488" customWidth="1"/>
    <col min="10243" max="10243" width="29.42578125" style="488" customWidth="1"/>
    <col min="10244" max="10244" width="41.85546875" style="488" bestFit="1" customWidth="1"/>
    <col min="10245" max="10254" width="41.85546875" style="488" customWidth="1"/>
    <col min="10255" max="10255" width="43.5703125" style="488" bestFit="1" customWidth="1"/>
    <col min="10256" max="10256" width="1.28515625" style="488" customWidth="1"/>
    <col min="10257" max="10257" width="5" style="488" bestFit="1" customWidth="1"/>
    <col min="10258" max="10258" width="2.7109375" style="488" bestFit="1" customWidth="1"/>
    <col min="10259" max="10259" width="4.140625" style="488" bestFit="1" customWidth="1"/>
    <col min="10260" max="10260" width="9.7109375" style="488" bestFit="1" customWidth="1"/>
    <col min="10261" max="10261" width="9.5703125" style="488" bestFit="1" customWidth="1"/>
    <col min="10262" max="10262" width="3.85546875" style="488" bestFit="1" customWidth="1"/>
    <col min="10263" max="10263" width="6.7109375" style="488" bestFit="1" customWidth="1"/>
    <col min="10264" max="10264" width="4.28515625" style="488" bestFit="1" customWidth="1"/>
    <col min="10265" max="10265" width="9.140625" style="488"/>
    <col min="10266" max="10266" width="31.7109375" style="488" customWidth="1"/>
    <col min="10267" max="10267" width="26.7109375" style="488" customWidth="1"/>
    <col min="10268" max="10268" width="31.7109375" style="488" customWidth="1"/>
    <col min="10269" max="10269" width="23.140625" style="488" customWidth="1"/>
    <col min="10270" max="10496" width="9.140625" style="488"/>
    <col min="10497" max="10497" width="28.85546875" style="488" bestFit="1" customWidth="1"/>
    <col min="10498" max="10498" width="29.5703125" style="488" customWidth="1"/>
    <col min="10499" max="10499" width="29.42578125" style="488" customWidth="1"/>
    <col min="10500" max="10500" width="41.85546875" style="488" bestFit="1" customWidth="1"/>
    <col min="10501" max="10510" width="41.85546875" style="488" customWidth="1"/>
    <col min="10511" max="10511" width="43.5703125" style="488" bestFit="1" customWidth="1"/>
    <col min="10512" max="10512" width="1.28515625" style="488" customWidth="1"/>
    <col min="10513" max="10513" width="5" style="488" bestFit="1" customWidth="1"/>
    <col min="10514" max="10514" width="2.7109375" style="488" bestFit="1" customWidth="1"/>
    <col min="10515" max="10515" width="4.140625" style="488" bestFit="1" customWidth="1"/>
    <col min="10516" max="10516" width="9.7109375" style="488" bestFit="1" customWidth="1"/>
    <col min="10517" max="10517" width="9.5703125" style="488" bestFit="1" customWidth="1"/>
    <col min="10518" max="10518" width="3.85546875" style="488" bestFit="1" customWidth="1"/>
    <col min="10519" max="10519" width="6.7109375" style="488" bestFit="1" customWidth="1"/>
    <col min="10520" max="10520" width="4.28515625" style="488" bestFit="1" customWidth="1"/>
    <col min="10521" max="10521" width="9.140625" style="488"/>
    <col min="10522" max="10522" width="31.7109375" style="488" customWidth="1"/>
    <col min="10523" max="10523" width="26.7109375" style="488" customWidth="1"/>
    <col min="10524" max="10524" width="31.7109375" style="488" customWidth="1"/>
    <col min="10525" max="10525" width="23.140625" style="488" customWidth="1"/>
    <col min="10526" max="10752" width="9.140625" style="488"/>
    <col min="10753" max="10753" width="28.85546875" style="488" bestFit="1" customWidth="1"/>
    <col min="10754" max="10754" width="29.5703125" style="488" customWidth="1"/>
    <col min="10755" max="10755" width="29.42578125" style="488" customWidth="1"/>
    <col min="10756" max="10756" width="41.85546875" style="488" bestFit="1" customWidth="1"/>
    <col min="10757" max="10766" width="41.85546875" style="488" customWidth="1"/>
    <col min="10767" max="10767" width="43.5703125" style="488" bestFit="1" customWidth="1"/>
    <col min="10768" max="10768" width="1.28515625" style="488" customWidth="1"/>
    <col min="10769" max="10769" width="5" style="488" bestFit="1" customWidth="1"/>
    <col min="10770" max="10770" width="2.7109375" style="488" bestFit="1" customWidth="1"/>
    <col min="10771" max="10771" width="4.140625" style="488" bestFit="1" customWidth="1"/>
    <col min="10772" max="10772" width="9.7109375" style="488" bestFit="1" customWidth="1"/>
    <col min="10773" max="10773" width="9.5703125" style="488" bestFit="1" customWidth="1"/>
    <col min="10774" max="10774" width="3.85546875" style="488" bestFit="1" customWidth="1"/>
    <col min="10775" max="10775" width="6.7109375" style="488" bestFit="1" customWidth="1"/>
    <col min="10776" max="10776" width="4.28515625" style="488" bestFit="1" customWidth="1"/>
    <col min="10777" max="10777" width="9.140625" style="488"/>
    <col min="10778" max="10778" width="31.7109375" style="488" customWidth="1"/>
    <col min="10779" max="10779" width="26.7109375" style="488" customWidth="1"/>
    <col min="10780" max="10780" width="31.7109375" style="488" customWidth="1"/>
    <col min="10781" max="10781" width="23.140625" style="488" customWidth="1"/>
    <col min="10782" max="11008" width="9.140625" style="488"/>
    <col min="11009" max="11009" width="28.85546875" style="488" bestFit="1" customWidth="1"/>
    <col min="11010" max="11010" width="29.5703125" style="488" customWidth="1"/>
    <col min="11011" max="11011" width="29.42578125" style="488" customWidth="1"/>
    <col min="11012" max="11012" width="41.85546875" style="488" bestFit="1" customWidth="1"/>
    <col min="11013" max="11022" width="41.85546875" style="488" customWidth="1"/>
    <col min="11023" max="11023" width="43.5703125" style="488" bestFit="1" customWidth="1"/>
    <col min="11024" max="11024" width="1.28515625" style="488" customWidth="1"/>
    <col min="11025" max="11025" width="5" style="488" bestFit="1" customWidth="1"/>
    <col min="11026" max="11026" width="2.7109375" style="488" bestFit="1" customWidth="1"/>
    <col min="11027" max="11027" width="4.140625" style="488" bestFit="1" customWidth="1"/>
    <col min="11028" max="11028" width="9.7109375" style="488" bestFit="1" customWidth="1"/>
    <col min="11029" max="11029" width="9.5703125" style="488" bestFit="1" customWidth="1"/>
    <col min="11030" max="11030" width="3.85546875" style="488" bestFit="1" customWidth="1"/>
    <col min="11031" max="11031" width="6.7109375" style="488" bestFit="1" customWidth="1"/>
    <col min="11032" max="11032" width="4.28515625" style="488" bestFit="1" customWidth="1"/>
    <col min="11033" max="11033" width="9.140625" style="488"/>
    <col min="11034" max="11034" width="31.7109375" style="488" customWidth="1"/>
    <col min="11035" max="11035" width="26.7109375" style="488" customWidth="1"/>
    <col min="11036" max="11036" width="31.7109375" style="488" customWidth="1"/>
    <col min="11037" max="11037" width="23.140625" style="488" customWidth="1"/>
    <col min="11038" max="11264" width="9.140625" style="488"/>
    <col min="11265" max="11265" width="28.85546875" style="488" bestFit="1" customWidth="1"/>
    <col min="11266" max="11266" width="29.5703125" style="488" customWidth="1"/>
    <col min="11267" max="11267" width="29.42578125" style="488" customWidth="1"/>
    <col min="11268" max="11268" width="41.85546875" style="488" bestFit="1" customWidth="1"/>
    <col min="11269" max="11278" width="41.85546875" style="488" customWidth="1"/>
    <col min="11279" max="11279" width="43.5703125" style="488" bestFit="1" customWidth="1"/>
    <col min="11280" max="11280" width="1.28515625" style="488" customWidth="1"/>
    <col min="11281" max="11281" width="5" style="488" bestFit="1" customWidth="1"/>
    <col min="11282" max="11282" width="2.7109375" style="488" bestFit="1" customWidth="1"/>
    <col min="11283" max="11283" width="4.140625" style="488" bestFit="1" customWidth="1"/>
    <col min="11284" max="11284" width="9.7109375" style="488" bestFit="1" customWidth="1"/>
    <col min="11285" max="11285" width="9.5703125" style="488" bestFit="1" customWidth="1"/>
    <col min="11286" max="11286" width="3.85546875" style="488" bestFit="1" customWidth="1"/>
    <col min="11287" max="11287" width="6.7109375" style="488" bestFit="1" customWidth="1"/>
    <col min="11288" max="11288" width="4.28515625" style="488" bestFit="1" customWidth="1"/>
    <col min="11289" max="11289" width="9.140625" style="488"/>
    <col min="11290" max="11290" width="31.7109375" style="488" customWidth="1"/>
    <col min="11291" max="11291" width="26.7109375" style="488" customWidth="1"/>
    <col min="11292" max="11292" width="31.7109375" style="488" customWidth="1"/>
    <col min="11293" max="11293" width="23.140625" style="488" customWidth="1"/>
    <col min="11294" max="11520" width="9.140625" style="488"/>
    <col min="11521" max="11521" width="28.85546875" style="488" bestFit="1" customWidth="1"/>
    <col min="11522" max="11522" width="29.5703125" style="488" customWidth="1"/>
    <col min="11523" max="11523" width="29.42578125" style="488" customWidth="1"/>
    <col min="11524" max="11524" width="41.85546875" style="488" bestFit="1" customWidth="1"/>
    <col min="11525" max="11534" width="41.85546875" style="488" customWidth="1"/>
    <col min="11535" max="11535" width="43.5703125" style="488" bestFit="1" customWidth="1"/>
    <col min="11536" max="11536" width="1.28515625" style="488" customWidth="1"/>
    <col min="11537" max="11537" width="5" style="488" bestFit="1" customWidth="1"/>
    <col min="11538" max="11538" width="2.7109375" style="488" bestFit="1" customWidth="1"/>
    <col min="11539" max="11539" width="4.140625" style="488" bestFit="1" customWidth="1"/>
    <col min="11540" max="11540" width="9.7109375" style="488" bestFit="1" customWidth="1"/>
    <col min="11541" max="11541" width="9.5703125" style="488" bestFit="1" customWidth="1"/>
    <col min="11542" max="11542" width="3.85546875" style="488" bestFit="1" customWidth="1"/>
    <col min="11543" max="11543" width="6.7109375" style="488" bestFit="1" customWidth="1"/>
    <col min="11544" max="11544" width="4.28515625" style="488" bestFit="1" customWidth="1"/>
    <col min="11545" max="11545" width="9.140625" style="488"/>
    <col min="11546" max="11546" width="31.7109375" style="488" customWidth="1"/>
    <col min="11547" max="11547" width="26.7109375" style="488" customWidth="1"/>
    <col min="11548" max="11548" width="31.7109375" style="488" customWidth="1"/>
    <col min="11549" max="11549" width="23.140625" style="488" customWidth="1"/>
    <col min="11550" max="11776" width="9.140625" style="488"/>
    <col min="11777" max="11777" width="28.85546875" style="488" bestFit="1" customWidth="1"/>
    <col min="11778" max="11778" width="29.5703125" style="488" customWidth="1"/>
    <col min="11779" max="11779" width="29.42578125" style="488" customWidth="1"/>
    <col min="11780" max="11780" width="41.85546875" style="488" bestFit="1" customWidth="1"/>
    <col min="11781" max="11790" width="41.85546875" style="488" customWidth="1"/>
    <col min="11791" max="11791" width="43.5703125" style="488" bestFit="1" customWidth="1"/>
    <col min="11792" max="11792" width="1.28515625" style="488" customWidth="1"/>
    <col min="11793" max="11793" width="5" style="488" bestFit="1" customWidth="1"/>
    <col min="11794" max="11794" width="2.7109375" style="488" bestFit="1" customWidth="1"/>
    <col min="11795" max="11795" width="4.140625" style="488" bestFit="1" customWidth="1"/>
    <col min="11796" max="11796" width="9.7109375" style="488" bestFit="1" customWidth="1"/>
    <col min="11797" max="11797" width="9.5703125" style="488" bestFit="1" customWidth="1"/>
    <col min="11798" max="11798" width="3.85546875" style="488" bestFit="1" customWidth="1"/>
    <col min="11799" max="11799" width="6.7109375" style="488" bestFit="1" customWidth="1"/>
    <col min="11800" max="11800" width="4.28515625" style="488" bestFit="1" customWidth="1"/>
    <col min="11801" max="11801" width="9.140625" style="488"/>
    <col min="11802" max="11802" width="31.7109375" style="488" customWidth="1"/>
    <col min="11803" max="11803" width="26.7109375" style="488" customWidth="1"/>
    <col min="11804" max="11804" width="31.7109375" style="488" customWidth="1"/>
    <col min="11805" max="11805" width="23.140625" style="488" customWidth="1"/>
    <col min="11806" max="12032" width="9.140625" style="488"/>
    <col min="12033" max="12033" width="28.85546875" style="488" bestFit="1" customWidth="1"/>
    <col min="12034" max="12034" width="29.5703125" style="488" customWidth="1"/>
    <col min="12035" max="12035" width="29.42578125" style="488" customWidth="1"/>
    <col min="12036" max="12036" width="41.85546875" style="488" bestFit="1" customWidth="1"/>
    <col min="12037" max="12046" width="41.85546875" style="488" customWidth="1"/>
    <col min="12047" max="12047" width="43.5703125" style="488" bestFit="1" customWidth="1"/>
    <col min="12048" max="12048" width="1.28515625" style="488" customWidth="1"/>
    <col min="12049" max="12049" width="5" style="488" bestFit="1" customWidth="1"/>
    <col min="12050" max="12050" width="2.7109375" style="488" bestFit="1" customWidth="1"/>
    <col min="12051" max="12051" width="4.140625" style="488" bestFit="1" customWidth="1"/>
    <col min="12052" max="12052" width="9.7109375" style="488" bestFit="1" customWidth="1"/>
    <col min="12053" max="12053" width="9.5703125" style="488" bestFit="1" customWidth="1"/>
    <col min="12054" max="12054" width="3.85546875" style="488" bestFit="1" customWidth="1"/>
    <col min="12055" max="12055" width="6.7109375" style="488" bestFit="1" customWidth="1"/>
    <col min="12056" max="12056" width="4.28515625" style="488" bestFit="1" customWidth="1"/>
    <col min="12057" max="12057" width="9.140625" style="488"/>
    <col min="12058" max="12058" width="31.7109375" style="488" customWidth="1"/>
    <col min="12059" max="12059" width="26.7109375" style="488" customWidth="1"/>
    <col min="12060" max="12060" width="31.7109375" style="488" customWidth="1"/>
    <col min="12061" max="12061" width="23.140625" style="488" customWidth="1"/>
    <col min="12062" max="12288" width="9.140625" style="488"/>
    <col min="12289" max="12289" width="28.85546875" style="488" bestFit="1" customWidth="1"/>
    <col min="12290" max="12290" width="29.5703125" style="488" customWidth="1"/>
    <col min="12291" max="12291" width="29.42578125" style="488" customWidth="1"/>
    <col min="12292" max="12292" width="41.85546875" style="488" bestFit="1" customWidth="1"/>
    <col min="12293" max="12302" width="41.85546875" style="488" customWidth="1"/>
    <col min="12303" max="12303" width="43.5703125" style="488" bestFit="1" customWidth="1"/>
    <col min="12304" max="12304" width="1.28515625" style="488" customWidth="1"/>
    <col min="12305" max="12305" width="5" style="488" bestFit="1" customWidth="1"/>
    <col min="12306" max="12306" width="2.7109375" style="488" bestFit="1" customWidth="1"/>
    <col min="12307" max="12307" width="4.140625" style="488" bestFit="1" customWidth="1"/>
    <col min="12308" max="12308" width="9.7109375" style="488" bestFit="1" customWidth="1"/>
    <col min="12309" max="12309" width="9.5703125" style="488" bestFit="1" customWidth="1"/>
    <col min="12310" max="12310" width="3.85546875" style="488" bestFit="1" customWidth="1"/>
    <col min="12311" max="12311" width="6.7109375" style="488" bestFit="1" customWidth="1"/>
    <col min="12312" max="12312" width="4.28515625" style="488" bestFit="1" customWidth="1"/>
    <col min="12313" max="12313" width="9.140625" style="488"/>
    <col min="12314" max="12314" width="31.7109375" style="488" customWidth="1"/>
    <col min="12315" max="12315" width="26.7109375" style="488" customWidth="1"/>
    <col min="12316" max="12316" width="31.7109375" style="488" customWidth="1"/>
    <col min="12317" max="12317" width="23.140625" style="488" customWidth="1"/>
    <col min="12318" max="12544" width="9.140625" style="488"/>
    <col min="12545" max="12545" width="28.85546875" style="488" bestFit="1" customWidth="1"/>
    <col min="12546" max="12546" width="29.5703125" style="488" customWidth="1"/>
    <col min="12547" max="12547" width="29.42578125" style="488" customWidth="1"/>
    <col min="12548" max="12548" width="41.85546875" style="488" bestFit="1" customWidth="1"/>
    <col min="12549" max="12558" width="41.85546875" style="488" customWidth="1"/>
    <col min="12559" max="12559" width="43.5703125" style="488" bestFit="1" customWidth="1"/>
    <col min="12560" max="12560" width="1.28515625" style="488" customWidth="1"/>
    <col min="12561" max="12561" width="5" style="488" bestFit="1" customWidth="1"/>
    <col min="12562" max="12562" width="2.7109375" style="488" bestFit="1" customWidth="1"/>
    <col min="12563" max="12563" width="4.140625" style="488" bestFit="1" customWidth="1"/>
    <col min="12564" max="12564" width="9.7109375" style="488" bestFit="1" customWidth="1"/>
    <col min="12565" max="12565" width="9.5703125" style="488" bestFit="1" customWidth="1"/>
    <col min="12566" max="12566" width="3.85546875" style="488" bestFit="1" customWidth="1"/>
    <col min="12567" max="12567" width="6.7109375" style="488" bestFit="1" customWidth="1"/>
    <col min="12568" max="12568" width="4.28515625" style="488" bestFit="1" customWidth="1"/>
    <col min="12569" max="12569" width="9.140625" style="488"/>
    <col min="12570" max="12570" width="31.7109375" style="488" customWidth="1"/>
    <col min="12571" max="12571" width="26.7109375" style="488" customWidth="1"/>
    <col min="12572" max="12572" width="31.7109375" style="488" customWidth="1"/>
    <col min="12573" max="12573" width="23.140625" style="488" customWidth="1"/>
    <col min="12574" max="12800" width="9.140625" style="488"/>
    <col min="12801" max="12801" width="28.85546875" style="488" bestFit="1" customWidth="1"/>
    <col min="12802" max="12802" width="29.5703125" style="488" customWidth="1"/>
    <col min="12803" max="12803" width="29.42578125" style="488" customWidth="1"/>
    <col min="12804" max="12804" width="41.85546875" style="488" bestFit="1" customWidth="1"/>
    <col min="12805" max="12814" width="41.85546875" style="488" customWidth="1"/>
    <col min="12815" max="12815" width="43.5703125" style="488" bestFit="1" customWidth="1"/>
    <col min="12816" max="12816" width="1.28515625" style="488" customWidth="1"/>
    <col min="12817" max="12817" width="5" style="488" bestFit="1" customWidth="1"/>
    <col min="12818" max="12818" width="2.7109375" style="488" bestFit="1" customWidth="1"/>
    <col min="12819" max="12819" width="4.140625" style="488" bestFit="1" customWidth="1"/>
    <col min="12820" max="12820" width="9.7109375" style="488" bestFit="1" customWidth="1"/>
    <col min="12821" max="12821" width="9.5703125" style="488" bestFit="1" customWidth="1"/>
    <col min="12822" max="12822" width="3.85546875" style="488" bestFit="1" customWidth="1"/>
    <col min="12823" max="12823" width="6.7109375" style="488" bestFit="1" customWidth="1"/>
    <col min="12824" max="12824" width="4.28515625" style="488" bestFit="1" customWidth="1"/>
    <col min="12825" max="12825" width="9.140625" style="488"/>
    <col min="12826" max="12826" width="31.7109375" style="488" customWidth="1"/>
    <col min="12827" max="12827" width="26.7109375" style="488" customWidth="1"/>
    <col min="12828" max="12828" width="31.7109375" style="488" customWidth="1"/>
    <col min="12829" max="12829" width="23.140625" style="488" customWidth="1"/>
    <col min="12830" max="13056" width="9.140625" style="488"/>
    <col min="13057" max="13057" width="28.85546875" style="488" bestFit="1" customWidth="1"/>
    <col min="13058" max="13058" width="29.5703125" style="488" customWidth="1"/>
    <col min="13059" max="13059" width="29.42578125" style="488" customWidth="1"/>
    <col min="13060" max="13060" width="41.85546875" style="488" bestFit="1" customWidth="1"/>
    <col min="13061" max="13070" width="41.85546875" style="488" customWidth="1"/>
    <col min="13071" max="13071" width="43.5703125" style="488" bestFit="1" customWidth="1"/>
    <col min="13072" max="13072" width="1.28515625" style="488" customWidth="1"/>
    <col min="13073" max="13073" width="5" style="488" bestFit="1" customWidth="1"/>
    <col min="13074" max="13074" width="2.7109375" style="488" bestFit="1" customWidth="1"/>
    <col min="13075" max="13075" width="4.140625" style="488" bestFit="1" customWidth="1"/>
    <col min="13076" max="13076" width="9.7109375" style="488" bestFit="1" customWidth="1"/>
    <col min="13077" max="13077" width="9.5703125" style="488" bestFit="1" customWidth="1"/>
    <col min="13078" max="13078" width="3.85546875" style="488" bestFit="1" customWidth="1"/>
    <col min="13079" max="13079" width="6.7109375" style="488" bestFit="1" customWidth="1"/>
    <col min="13080" max="13080" width="4.28515625" style="488" bestFit="1" customWidth="1"/>
    <col min="13081" max="13081" width="9.140625" style="488"/>
    <col min="13082" max="13082" width="31.7109375" style="488" customWidth="1"/>
    <col min="13083" max="13083" width="26.7109375" style="488" customWidth="1"/>
    <col min="13084" max="13084" width="31.7109375" style="488" customWidth="1"/>
    <col min="13085" max="13085" width="23.140625" style="488" customWidth="1"/>
    <col min="13086" max="13312" width="9.140625" style="488"/>
    <col min="13313" max="13313" width="28.85546875" style="488" bestFit="1" customWidth="1"/>
    <col min="13314" max="13314" width="29.5703125" style="488" customWidth="1"/>
    <col min="13315" max="13315" width="29.42578125" style="488" customWidth="1"/>
    <col min="13316" max="13316" width="41.85546875" style="488" bestFit="1" customWidth="1"/>
    <col min="13317" max="13326" width="41.85546875" style="488" customWidth="1"/>
    <col min="13327" max="13327" width="43.5703125" style="488" bestFit="1" customWidth="1"/>
    <col min="13328" max="13328" width="1.28515625" style="488" customWidth="1"/>
    <col min="13329" max="13329" width="5" style="488" bestFit="1" customWidth="1"/>
    <col min="13330" max="13330" width="2.7109375" style="488" bestFit="1" customWidth="1"/>
    <col min="13331" max="13331" width="4.140625" style="488" bestFit="1" customWidth="1"/>
    <col min="13332" max="13332" width="9.7109375" style="488" bestFit="1" customWidth="1"/>
    <col min="13333" max="13333" width="9.5703125" style="488" bestFit="1" customWidth="1"/>
    <col min="13334" max="13334" width="3.85546875" style="488" bestFit="1" customWidth="1"/>
    <col min="13335" max="13335" width="6.7109375" style="488" bestFit="1" customWidth="1"/>
    <col min="13336" max="13336" width="4.28515625" style="488" bestFit="1" customWidth="1"/>
    <col min="13337" max="13337" width="9.140625" style="488"/>
    <col min="13338" max="13338" width="31.7109375" style="488" customWidth="1"/>
    <col min="13339" max="13339" width="26.7109375" style="488" customWidth="1"/>
    <col min="13340" max="13340" width="31.7109375" style="488" customWidth="1"/>
    <col min="13341" max="13341" width="23.140625" style="488" customWidth="1"/>
    <col min="13342" max="13568" width="9.140625" style="488"/>
    <col min="13569" max="13569" width="28.85546875" style="488" bestFit="1" customWidth="1"/>
    <col min="13570" max="13570" width="29.5703125" style="488" customWidth="1"/>
    <col min="13571" max="13571" width="29.42578125" style="488" customWidth="1"/>
    <col min="13572" max="13572" width="41.85546875" style="488" bestFit="1" customWidth="1"/>
    <col min="13573" max="13582" width="41.85546875" style="488" customWidth="1"/>
    <col min="13583" max="13583" width="43.5703125" style="488" bestFit="1" customWidth="1"/>
    <col min="13584" max="13584" width="1.28515625" style="488" customWidth="1"/>
    <col min="13585" max="13585" width="5" style="488" bestFit="1" customWidth="1"/>
    <col min="13586" max="13586" width="2.7109375" style="488" bestFit="1" customWidth="1"/>
    <col min="13587" max="13587" width="4.140625" style="488" bestFit="1" customWidth="1"/>
    <col min="13588" max="13588" width="9.7109375" style="488" bestFit="1" customWidth="1"/>
    <col min="13589" max="13589" width="9.5703125" style="488" bestFit="1" customWidth="1"/>
    <col min="13590" max="13590" width="3.85546875" style="488" bestFit="1" customWidth="1"/>
    <col min="13591" max="13591" width="6.7109375" style="488" bestFit="1" customWidth="1"/>
    <col min="13592" max="13592" width="4.28515625" style="488" bestFit="1" customWidth="1"/>
    <col min="13593" max="13593" width="9.140625" style="488"/>
    <col min="13594" max="13594" width="31.7109375" style="488" customWidth="1"/>
    <col min="13595" max="13595" width="26.7109375" style="488" customWidth="1"/>
    <col min="13596" max="13596" width="31.7109375" style="488" customWidth="1"/>
    <col min="13597" max="13597" width="23.140625" style="488" customWidth="1"/>
    <col min="13598" max="13824" width="9.140625" style="488"/>
    <col min="13825" max="13825" width="28.85546875" style="488" bestFit="1" customWidth="1"/>
    <col min="13826" max="13826" width="29.5703125" style="488" customWidth="1"/>
    <col min="13827" max="13827" width="29.42578125" style="488" customWidth="1"/>
    <col min="13828" max="13828" width="41.85546875" style="488" bestFit="1" customWidth="1"/>
    <col min="13829" max="13838" width="41.85546875" style="488" customWidth="1"/>
    <col min="13839" max="13839" width="43.5703125" style="488" bestFit="1" customWidth="1"/>
    <col min="13840" max="13840" width="1.28515625" style="488" customWidth="1"/>
    <col min="13841" max="13841" width="5" style="488" bestFit="1" customWidth="1"/>
    <col min="13842" max="13842" width="2.7109375" style="488" bestFit="1" customWidth="1"/>
    <col min="13843" max="13843" width="4.140625" style="488" bestFit="1" customWidth="1"/>
    <col min="13844" max="13844" width="9.7109375" style="488" bestFit="1" customWidth="1"/>
    <col min="13845" max="13845" width="9.5703125" style="488" bestFit="1" customWidth="1"/>
    <col min="13846" max="13846" width="3.85546875" style="488" bestFit="1" customWidth="1"/>
    <col min="13847" max="13847" width="6.7109375" style="488" bestFit="1" customWidth="1"/>
    <col min="13848" max="13848" width="4.28515625" style="488" bestFit="1" customWidth="1"/>
    <col min="13849" max="13849" width="9.140625" style="488"/>
    <col min="13850" max="13850" width="31.7109375" style="488" customWidth="1"/>
    <col min="13851" max="13851" width="26.7109375" style="488" customWidth="1"/>
    <col min="13852" max="13852" width="31.7109375" style="488" customWidth="1"/>
    <col min="13853" max="13853" width="23.140625" style="488" customWidth="1"/>
    <col min="13854" max="14080" width="9.140625" style="488"/>
    <col min="14081" max="14081" width="28.85546875" style="488" bestFit="1" customWidth="1"/>
    <col min="14082" max="14082" width="29.5703125" style="488" customWidth="1"/>
    <col min="14083" max="14083" width="29.42578125" style="488" customWidth="1"/>
    <col min="14084" max="14084" width="41.85546875" style="488" bestFit="1" customWidth="1"/>
    <col min="14085" max="14094" width="41.85546875" style="488" customWidth="1"/>
    <col min="14095" max="14095" width="43.5703125" style="488" bestFit="1" customWidth="1"/>
    <col min="14096" max="14096" width="1.28515625" style="488" customWidth="1"/>
    <col min="14097" max="14097" width="5" style="488" bestFit="1" customWidth="1"/>
    <col min="14098" max="14098" width="2.7109375" style="488" bestFit="1" customWidth="1"/>
    <col min="14099" max="14099" width="4.140625" style="488" bestFit="1" customWidth="1"/>
    <col min="14100" max="14100" width="9.7109375" style="488" bestFit="1" customWidth="1"/>
    <col min="14101" max="14101" width="9.5703125" style="488" bestFit="1" customWidth="1"/>
    <col min="14102" max="14102" width="3.85546875" style="488" bestFit="1" customWidth="1"/>
    <col min="14103" max="14103" width="6.7109375" style="488" bestFit="1" customWidth="1"/>
    <col min="14104" max="14104" width="4.28515625" style="488" bestFit="1" customWidth="1"/>
    <col min="14105" max="14105" width="9.140625" style="488"/>
    <col min="14106" max="14106" width="31.7109375" style="488" customWidth="1"/>
    <col min="14107" max="14107" width="26.7109375" style="488" customWidth="1"/>
    <col min="14108" max="14108" width="31.7109375" style="488" customWidth="1"/>
    <col min="14109" max="14109" width="23.140625" style="488" customWidth="1"/>
    <col min="14110" max="14336" width="9.140625" style="488"/>
    <col min="14337" max="14337" width="28.85546875" style="488" bestFit="1" customWidth="1"/>
    <col min="14338" max="14338" width="29.5703125" style="488" customWidth="1"/>
    <col min="14339" max="14339" width="29.42578125" style="488" customWidth="1"/>
    <col min="14340" max="14340" width="41.85546875" style="488" bestFit="1" customWidth="1"/>
    <col min="14341" max="14350" width="41.85546875" style="488" customWidth="1"/>
    <col min="14351" max="14351" width="43.5703125" style="488" bestFit="1" customWidth="1"/>
    <col min="14352" max="14352" width="1.28515625" style="488" customWidth="1"/>
    <col min="14353" max="14353" width="5" style="488" bestFit="1" customWidth="1"/>
    <col min="14354" max="14354" width="2.7109375" style="488" bestFit="1" customWidth="1"/>
    <col min="14355" max="14355" width="4.140625" style="488" bestFit="1" customWidth="1"/>
    <col min="14356" max="14356" width="9.7109375" style="488" bestFit="1" customWidth="1"/>
    <col min="14357" max="14357" width="9.5703125" style="488" bestFit="1" customWidth="1"/>
    <col min="14358" max="14358" width="3.85546875" style="488" bestFit="1" customWidth="1"/>
    <col min="14359" max="14359" width="6.7109375" style="488" bestFit="1" customWidth="1"/>
    <col min="14360" max="14360" width="4.28515625" style="488" bestFit="1" customWidth="1"/>
    <col min="14361" max="14361" width="9.140625" style="488"/>
    <col min="14362" max="14362" width="31.7109375" style="488" customWidth="1"/>
    <col min="14363" max="14363" width="26.7109375" style="488" customWidth="1"/>
    <col min="14364" max="14364" width="31.7109375" style="488" customWidth="1"/>
    <col min="14365" max="14365" width="23.140625" style="488" customWidth="1"/>
    <col min="14366" max="14592" width="9.140625" style="488"/>
    <col min="14593" max="14593" width="28.85546875" style="488" bestFit="1" customWidth="1"/>
    <col min="14594" max="14594" width="29.5703125" style="488" customWidth="1"/>
    <col min="14595" max="14595" width="29.42578125" style="488" customWidth="1"/>
    <col min="14596" max="14596" width="41.85546875" style="488" bestFit="1" customWidth="1"/>
    <col min="14597" max="14606" width="41.85546875" style="488" customWidth="1"/>
    <col min="14607" max="14607" width="43.5703125" style="488" bestFit="1" customWidth="1"/>
    <col min="14608" max="14608" width="1.28515625" style="488" customWidth="1"/>
    <col min="14609" max="14609" width="5" style="488" bestFit="1" customWidth="1"/>
    <col min="14610" max="14610" width="2.7109375" style="488" bestFit="1" customWidth="1"/>
    <col min="14611" max="14611" width="4.140625" style="488" bestFit="1" customWidth="1"/>
    <col min="14612" max="14612" width="9.7109375" style="488" bestFit="1" customWidth="1"/>
    <col min="14613" max="14613" width="9.5703125" style="488" bestFit="1" customWidth="1"/>
    <col min="14614" max="14614" width="3.85546875" style="488" bestFit="1" customWidth="1"/>
    <col min="14615" max="14615" width="6.7109375" style="488" bestFit="1" customWidth="1"/>
    <col min="14616" max="14616" width="4.28515625" style="488" bestFit="1" customWidth="1"/>
    <col min="14617" max="14617" width="9.140625" style="488"/>
    <col min="14618" max="14618" width="31.7109375" style="488" customWidth="1"/>
    <col min="14619" max="14619" width="26.7109375" style="488" customWidth="1"/>
    <col min="14620" max="14620" width="31.7109375" style="488" customWidth="1"/>
    <col min="14621" max="14621" width="23.140625" style="488" customWidth="1"/>
    <col min="14622" max="14848" width="9.140625" style="488"/>
    <col min="14849" max="14849" width="28.85546875" style="488" bestFit="1" customWidth="1"/>
    <col min="14850" max="14850" width="29.5703125" style="488" customWidth="1"/>
    <col min="14851" max="14851" width="29.42578125" style="488" customWidth="1"/>
    <col min="14852" max="14852" width="41.85546875" style="488" bestFit="1" customWidth="1"/>
    <col min="14853" max="14862" width="41.85546875" style="488" customWidth="1"/>
    <col min="14863" max="14863" width="43.5703125" style="488" bestFit="1" customWidth="1"/>
    <col min="14864" max="14864" width="1.28515625" style="488" customWidth="1"/>
    <col min="14865" max="14865" width="5" style="488" bestFit="1" customWidth="1"/>
    <col min="14866" max="14866" width="2.7109375" style="488" bestFit="1" customWidth="1"/>
    <col min="14867" max="14867" width="4.140625" style="488" bestFit="1" customWidth="1"/>
    <col min="14868" max="14868" width="9.7109375" style="488" bestFit="1" customWidth="1"/>
    <col min="14869" max="14869" width="9.5703125" style="488" bestFit="1" customWidth="1"/>
    <col min="14870" max="14870" width="3.85546875" style="488" bestFit="1" customWidth="1"/>
    <col min="14871" max="14871" width="6.7109375" style="488" bestFit="1" customWidth="1"/>
    <col min="14872" max="14872" width="4.28515625" style="488" bestFit="1" customWidth="1"/>
    <col min="14873" max="14873" width="9.140625" style="488"/>
    <col min="14874" max="14874" width="31.7109375" style="488" customWidth="1"/>
    <col min="14875" max="14875" width="26.7109375" style="488" customWidth="1"/>
    <col min="14876" max="14876" width="31.7109375" style="488" customWidth="1"/>
    <col min="14877" max="14877" width="23.140625" style="488" customWidth="1"/>
    <col min="14878" max="15104" width="9.140625" style="488"/>
    <col min="15105" max="15105" width="28.85546875" style="488" bestFit="1" customWidth="1"/>
    <col min="15106" max="15106" width="29.5703125" style="488" customWidth="1"/>
    <col min="15107" max="15107" width="29.42578125" style="488" customWidth="1"/>
    <col min="15108" max="15108" width="41.85546875" style="488" bestFit="1" customWidth="1"/>
    <col min="15109" max="15118" width="41.85546875" style="488" customWidth="1"/>
    <col min="15119" max="15119" width="43.5703125" style="488" bestFit="1" customWidth="1"/>
    <col min="15120" max="15120" width="1.28515625" style="488" customWidth="1"/>
    <col min="15121" max="15121" width="5" style="488" bestFit="1" customWidth="1"/>
    <col min="15122" max="15122" width="2.7109375" style="488" bestFit="1" customWidth="1"/>
    <col min="15123" max="15123" width="4.140625" style="488" bestFit="1" customWidth="1"/>
    <col min="15124" max="15124" width="9.7109375" style="488" bestFit="1" customWidth="1"/>
    <col min="15125" max="15125" width="9.5703125" style="488" bestFit="1" customWidth="1"/>
    <col min="15126" max="15126" width="3.85546875" style="488" bestFit="1" customWidth="1"/>
    <col min="15127" max="15127" width="6.7109375" style="488" bestFit="1" customWidth="1"/>
    <col min="15128" max="15128" width="4.28515625" style="488" bestFit="1" customWidth="1"/>
    <col min="15129" max="15129" width="9.140625" style="488"/>
    <col min="15130" max="15130" width="31.7109375" style="488" customWidth="1"/>
    <col min="15131" max="15131" width="26.7109375" style="488" customWidth="1"/>
    <col min="15132" max="15132" width="31.7109375" style="488" customWidth="1"/>
    <col min="15133" max="15133" width="23.140625" style="488" customWidth="1"/>
    <col min="15134" max="15360" width="9.140625" style="488"/>
    <col min="15361" max="15361" width="28.85546875" style="488" bestFit="1" customWidth="1"/>
    <col min="15362" max="15362" width="29.5703125" style="488" customWidth="1"/>
    <col min="15363" max="15363" width="29.42578125" style="488" customWidth="1"/>
    <col min="15364" max="15364" width="41.85546875" style="488" bestFit="1" customWidth="1"/>
    <col min="15365" max="15374" width="41.85546875" style="488" customWidth="1"/>
    <col min="15375" max="15375" width="43.5703125" style="488" bestFit="1" customWidth="1"/>
    <col min="15376" max="15376" width="1.28515625" style="488" customWidth="1"/>
    <col min="15377" max="15377" width="5" style="488" bestFit="1" customWidth="1"/>
    <col min="15378" max="15378" width="2.7109375" style="488" bestFit="1" customWidth="1"/>
    <col min="15379" max="15379" width="4.140625" style="488" bestFit="1" customWidth="1"/>
    <col min="15380" max="15380" width="9.7109375" style="488" bestFit="1" customWidth="1"/>
    <col min="15381" max="15381" width="9.5703125" style="488" bestFit="1" customWidth="1"/>
    <col min="15382" max="15382" width="3.85546875" style="488" bestFit="1" customWidth="1"/>
    <col min="15383" max="15383" width="6.7109375" style="488" bestFit="1" customWidth="1"/>
    <col min="15384" max="15384" width="4.28515625" style="488" bestFit="1" customWidth="1"/>
    <col min="15385" max="15385" width="9.140625" style="488"/>
    <col min="15386" max="15386" width="31.7109375" style="488" customWidth="1"/>
    <col min="15387" max="15387" width="26.7109375" style="488" customWidth="1"/>
    <col min="15388" max="15388" width="31.7109375" style="488" customWidth="1"/>
    <col min="15389" max="15389" width="23.140625" style="488" customWidth="1"/>
    <col min="15390" max="15616" width="9.140625" style="488"/>
    <col min="15617" max="15617" width="28.85546875" style="488" bestFit="1" customWidth="1"/>
    <col min="15618" max="15618" width="29.5703125" style="488" customWidth="1"/>
    <col min="15619" max="15619" width="29.42578125" style="488" customWidth="1"/>
    <col min="15620" max="15620" width="41.85546875" style="488" bestFit="1" customWidth="1"/>
    <col min="15621" max="15630" width="41.85546875" style="488" customWidth="1"/>
    <col min="15631" max="15631" width="43.5703125" style="488" bestFit="1" customWidth="1"/>
    <col min="15632" max="15632" width="1.28515625" style="488" customWidth="1"/>
    <col min="15633" max="15633" width="5" style="488" bestFit="1" customWidth="1"/>
    <col min="15634" max="15634" width="2.7109375" style="488" bestFit="1" customWidth="1"/>
    <col min="15635" max="15635" width="4.140625" style="488" bestFit="1" customWidth="1"/>
    <col min="15636" max="15636" width="9.7109375" style="488" bestFit="1" customWidth="1"/>
    <col min="15637" max="15637" width="9.5703125" style="488" bestFit="1" customWidth="1"/>
    <col min="15638" max="15638" width="3.85546875" style="488" bestFit="1" customWidth="1"/>
    <col min="15639" max="15639" width="6.7109375" style="488" bestFit="1" customWidth="1"/>
    <col min="15640" max="15640" width="4.28515625" style="488" bestFit="1" customWidth="1"/>
    <col min="15641" max="15641" width="9.140625" style="488"/>
    <col min="15642" max="15642" width="31.7109375" style="488" customWidth="1"/>
    <col min="15643" max="15643" width="26.7109375" style="488" customWidth="1"/>
    <col min="15644" max="15644" width="31.7109375" style="488" customWidth="1"/>
    <col min="15645" max="15645" width="23.140625" style="488" customWidth="1"/>
    <col min="15646" max="15872" width="9.140625" style="488"/>
    <col min="15873" max="15873" width="28.85546875" style="488" bestFit="1" customWidth="1"/>
    <col min="15874" max="15874" width="29.5703125" style="488" customWidth="1"/>
    <col min="15875" max="15875" width="29.42578125" style="488" customWidth="1"/>
    <col min="15876" max="15876" width="41.85546875" style="488" bestFit="1" customWidth="1"/>
    <col min="15877" max="15886" width="41.85546875" style="488" customWidth="1"/>
    <col min="15887" max="15887" width="43.5703125" style="488" bestFit="1" customWidth="1"/>
    <col min="15888" max="15888" width="1.28515625" style="488" customWidth="1"/>
    <col min="15889" max="15889" width="5" style="488" bestFit="1" customWidth="1"/>
    <col min="15890" max="15890" width="2.7109375" style="488" bestFit="1" customWidth="1"/>
    <col min="15891" max="15891" width="4.140625" style="488" bestFit="1" customWidth="1"/>
    <col min="15892" max="15892" width="9.7109375" style="488" bestFit="1" customWidth="1"/>
    <col min="15893" max="15893" width="9.5703125" style="488" bestFit="1" customWidth="1"/>
    <col min="15894" max="15894" width="3.85546875" style="488" bestFit="1" customWidth="1"/>
    <col min="15895" max="15895" width="6.7109375" style="488" bestFit="1" customWidth="1"/>
    <col min="15896" max="15896" width="4.28515625" style="488" bestFit="1" customWidth="1"/>
    <col min="15897" max="15897" width="9.140625" style="488"/>
    <col min="15898" max="15898" width="31.7109375" style="488" customWidth="1"/>
    <col min="15899" max="15899" width="26.7109375" style="488" customWidth="1"/>
    <col min="15900" max="15900" width="31.7109375" style="488" customWidth="1"/>
    <col min="15901" max="15901" width="23.140625" style="488" customWidth="1"/>
    <col min="15902" max="16128" width="9.140625" style="488"/>
    <col min="16129" max="16129" width="28.85546875" style="488" bestFit="1" customWidth="1"/>
    <col min="16130" max="16130" width="29.5703125" style="488" customWidth="1"/>
    <col min="16131" max="16131" width="29.42578125" style="488" customWidth="1"/>
    <col min="16132" max="16132" width="41.85546875" style="488" bestFit="1" customWidth="1"/>
    <col min="16133" max="16142" width="41.85546875" style="488" customWidth="1"/>
    <col min="16143" max="16143" width="43.5703125" style="488" bestFit="1" customWidth="1"/>
    <col min="16144" max="16144" width="1.28515625" style="488" customWidth="1"/>
    <col min="16145" max="16145" width="5" style="488" bestFit="1" customWidth="1"/>
    <col min="16146" max="16146" width="2.7109375" style="488" bestFit="1" customWidth="1"/>
    <col min="16147" max="16147" width="4.140625" style="488" bestFit="1" customWidth="1"/>
    <col min="16148" max="16148" width="9.7109375" style="488" bestFit="1" customWidth="1"/>
    <col min="16149" max="16149" width="9.5703125" style="488" bestFit="1" customWidth="1"/>
    <col min="16150" max="16150" width="3.85546875" style="488" bestFit="1" customWidth="1"/>
    <col min="16151" max="16151" width="6.7109375" style="488" bestFit="1" customWidth="1"/>
    <col min="16152" max="16152" width="4.28515625" style="488" bestFit="1" customWidth="1"/>
    <col min="16153" max="16153" width="9.140625" style="488"/>
    <col min="16154" max="16154" width="31.7109375" style="488" customWidth="1"/>
    <col min="16155" max="16155" width="26.7109375" style="488" customWidth="1"/>
    <col min="16156" max="16156" width="31.7109375" style="488" customWidth="1"/>
    <col min="16157" max="16157" width="23.140625" style="488" customWidth="1"/>
    <col min="16158" max="16384" width="9.140625" style="488"/>
  </cols>
  <sheetData>
    <row r="1" spans="1:30" s="486" customFormat="1" x14ac:dyDescent="0.2">
      <c r="A1" s="479" t="s">
        <v>191</v>
      </c>
      <c r="B1" s="480">
        <v>2007</v>
      </c>
      <c r="C1" s="480">
        <v>2008</v>
      </c>
      <c r="D1" s="480">
        <v>2009</v>
      </c>
      <c r="E1" s="481">
        <v>2010</v>
      </c>
      <c r="F1" s="481">
        <v>2011</v>
      </c>
      <c r="G1" s="480">
        <v>2012</v>
      </c>
      <c r="H1" s="481">
        <v>2013</v>
      </c>
      <c r="I1" s="481">
        <v>2014</v>
      </c>
      <c r="J1" s="481">
        <v>2015</v>
      </c>
      <c r="K1" s="481">
        <v>2016</v>
      </c>
      <c r="L1" s="481">
        <v>2017</v>
      </c>
      <c r="M1" s="481">
        <v>2018</v>
      </c>
      <c r="N1" s="481">
        <v>2019</v>
      </c>
      <c r="O1" s="481">
        <v>2020</v>
      </c>
      <c r="P1" s="482"/>
      <c r="Q1" s="483" t="s">
        <v>1055</v>
      </c>
      <c r="R1" s="484"/>
      <c r="S1" s="484"/>
      <c r="T1" s="484"/>
      <c r="U1" s="484"/>
      <c r="V1" s="484"/>
      <c r="W1" s="484"/>
      <c r="X1" s="484"/>
      <c r="Y1" s="485" t="s">
        <v>438</v>
      </c>
      <c r="Z1" s="485" t="s">
        <v>439</v>
      </c>
      <c r="AA1" s="485" t="s">
        <v>440</v>
      </c>
      <c r="AB1" s="485" t="s">
        <v>441</v>
      </c>
      <c r="AC1" s="485" t="s">
        <v>442</v>
      </c>
    </row>
    <row r="2" spans="1:30" x14ac:dyDescent="0.2">
      <c r="A2" s="487" t="e">
        <f>#REF!</f>
        <v>#REF!</v>
      </c>
      <c r="B2" s="488" t="s">
        <v>443</v>
      </c>
      <c r="C2" s="488" t="s">
        <v>91</v>
      </c>
      <c r="D2" s="488" t="s">
        <v>444</v>
      </c>
      <c r="E2" s="489" t="str">
        <f t="shared" ref="E2:O2" si="0">E1-2&amp;"/"&amp;RIGHT(E1,2)-1</f>
        <v>2008/9</v>
      </c>
      <c r="F2" s="489" t="str">
        <f t="shared" si="0"/>
        <v>2009/10</v>
      </c>
      <c r="G2" s="489" t="str">
        <f t="shared" si="0"/>
        <v>2010/11</v>
      </c>
      <c r="H2" s="489" t="str">
        <f t="shared" si="0"/>
        <v>2011/12</v>
      </c>
      <c r="I2" s="489" t="str">
        <f t="shared" si="0"/>
        <v>2012/13</v>
      </c>
      <c r="J2" s="489" t="str">
        <f t="shared" si="0"/>
        <v>2013/14</v>
      </c>
      <c r="K2" s="489" t="str">
        <f t="shared" si="0"/>
        <v>2014/15</v>
      </c>
      <c r="L2" s="489" t="str">
        <f t="shared" si="0"/>
        <v>2015/16</v>
      </c>
      <c r="M2" s="489" t="str">
        <f t="shared" si="0"/>
        <v>2016/17</v>
      </c>
      <c r="N2" s="489" t="str">
        <f t="shared" si="0"/>
        <v>2017/18</v>
      </c>
      <c r="O2" s="489" t="str">
        <f t="shared" si="0"/>
        <v>2018/19</v>
      </c>
      <c r="Q2" s="490" t="s">
        <v>543</v>
      </c>
      <c r="R2" s="491" t="s">
        <v>1056</v>
      </c>
      <c r="S2" s="491" t="s">
        <v>1057</v>
      </c>
      <c r="T2" s="492" t="s">
        <v>1058</v>
      </c>
      <c r="U2" s="489" t="s">
        <v>1059</v>
      </c>
      <c r="V2" s="492" t="s">
        <v>543</v>
      </c>
      <c r="W2" s="493" t="s">
        <v>1060</v>
      </c>
      <c r="X2" s="493" t="s">
        <v>1061</v>
      </c>
      <c r="Z2" s="488" t="s">
        <v>1062</v>
      </c>
      <c r="AA2" s="488" t="s">
        <v>1063</v>
      </c>
      <c r="AB2" s="488" t="s">
        <v>1064</v>
      </c>
      <c r="AC2" s="488" t="s">
        <v>1065</v>
      </c>
    </row>
    <row r="3" spans="1:30" x14ac:dyDescent="0.2">
      <c r="A3" s="487" t="e">
        <f>#REF!</f>
        <v>#REF!</v>
      </c>
      <c r="B3" s="488" t="s">
        <v>69</v>
      </c>
      <c r="C3" s="488" t="s">
        <v>443</v>
      </c>
      <c r="D3" s="488" t="s">
        <v>91</v>
      </c>
      <c r="E3" s="489" t="str">
        <f t="shared" ref="E3:O3" si="1">E1-3&amp;"/"&amp;RIGHT(E1,2)-2</f>
        <v>2007/8</v>
      </c>
      <c r="F3" s="489" t="str">
        <f t="shared" si="1"/>
        <v>2008/9</v>
      </c>
      <c r="G3" s="489" t="str">
        <f t="shared" si="1"/>
        <v>2009/10</v>
      </c>
      <c r="H3" s="489" t="str">
        <f t="shared" si="1"/>
        <v>2010/11</v>
      </c>
      <c r="I3" s="489" t="str">
        <f t="shared" si="1"/>
        <v>2011/12</v>
      </c>
      <c r="J3" s="489" t="str">
        <f t="shared" si="1"/>
        <v>2012/13</v>
      </c>
      <c r="K3" s="489" t="str">
        <f t="shared" si="1"/>
        <v>2013/14</v>
      </c>
      <c r="L3" s="489" t="str">
        <f t="shared" si="1"/>
        <v>2014/15</v>
      </c>
      <c r="M3" s="489" t="str">
        <f t="shared" si="1"/>
        <v>2015/16</v>
      </c>
      <c r="N3" s="489" t="str">
        <f t="shared" si="1"/>
        <v>2016/17</v>
      </c>
      <c r="O3" s="489" t="str">
        <f t="shared" si="1"/>
        <v>2017/18</v>
      </c>
      <c r="Q3" s="490" t="s">
        <v>544</v>
      </c>
      <c r="R3" s="492">
        <v>1</v>
      </c>
      <c r="S3" s="492">
        <v>4</v>
      </c>
      <c r="T3" s="492" t="s">
        <v>1066</v>
      </c>
      <c r="U3" s="489" t="s">
        <v>1067</v>
      </c>
      <c r="V3" s="494" t="s">
        <v>544</v>
      </c>
      <c r="W3" s="494" t="s">
        <v>1068</v>
      </c>
      <c r="X3" s="494" t="s">
        <v>1069</v>
      </c>
      <c r="Z3" s="488" t="s">
        <v>1070</v>
      </c>
      <c r="AA3" s="488" t="s">
        <v>1071</v>
      </c>
      <c r="AB3" s="488" t="s">
        <v>1072</v>
      </c>
      <c r="AC3" s="488" t="s">
        <v>1073</v>
      </c>
    </row>
    <row r="4" spans="1:30" x14ac:dyDescent="0.2">
      <c r="A4" s="487" t="e">
        <f>#REF!</f>
        <v>#REF!</v>
      </c>
      <c r="B4" s="488" t="s">
        <v>70</v>
      </c>
      <c r="C4" s="488" t="s">
        <v>69</v>
      </c>
      <c r="D4" s="488" t="s">
        <v>443</v>
      </c>
      <c r="E4" s="489" t="str">
        <f t="shared" ref="E4:O4" si="2">E1-4&amp;"/"&amp;RIGHT(E1,2)-3</f>
        <v>2006/7</v>
      </c>
      <c r="F4" s="489" t="str">
        <f t="shared" si="2"/>
        <v>2007/8</v>
      </c>
      <c r="G4" s="489" t="str">
        <f t="shared" si="2"/>
        <v>2008/9</v>
      </c>
      <c r="H4" s="489" t="str">
        <f t="shared" si="2"/>
        <v>2009/10</v>
      </c>
      <c r="I4" s="489" t="str">
        <f t="shared" si="2"/>
        <v>2010/11</v>
      </c>
      <c r="J4" s="489" t="str">
        <f t="shared" si="2"/>
        <v>2011/12</v>
      </c>
      <c r="K4" s="489" t="str">
        <f t="shared" si="2"/>
        <v>2012/13</v>
      </c>
      <c r="L4" s="489" t="str">
        <f t="shared" si="2"/>
        <v>2013/14</v>
      </c>
      <c r="M4" s="489" t="str">
        <f t="shared" si="2"/>
        <v>2014/15</v>
      </c>
      <c r="N4" s="489" t="str">
        <f t="shared" si="2"/>
        <v>2015/16</v>
      </c>
      <c r="O4" s="489" t="str">
        <f t="shared" si="2"/>
        <v>2016/17</v>
      </c>
      <c r="Q4" s="495"/>
      <c r="R4" s="492">
        <v>2</v>
      </c>
      <c r="S4" s="492">
        <v>5</v>
      </c>
      <c r="T4" s="494" t="s">
        <v>231</v>
      </c>
      <c r="U4" s="496" t="s">
        <v>231</v>
      </c>
      <c r="V4" s="497"/>
      <c r="Z4" s="488" t="s">
        <v>1074</v>
      </c>
      <c r="AA4" s="488" t="s">
        <v>952</v>
      </c>
      <c r="AB4" s="488" t="s">
        <v>1075</v>
      </c>
      <c r="AC4" s="488" t="s">
        <v>1076</v>
      </c>
    </row>
    <row r="5" spans="1:30" x14ac:dyDescent="0.2">
      <c r="A5" s="487" t="e">
        <f>#REF!</f>
        <v>#REF!</v>
      </c>
      <c r="B5" s="488" t="s">
        <v>455</v>
      </c>
      <c r="C5" s="488" t="s">
        <v>456</v>
      </c>
      <c r="D5" s="488" t="s">
        <v>457</v>
      </c>
      <c r="E5" s="489" t="str">
        <f t="shared" ref="E5:O5" si="3">"Current Year "&amp; E1-1&amp;"/"&amp;RIGHT(E1,2)</f>
        <v>Current Year 2009/10</v>
      </c>
      <c r="F5" s="489" t="str">
        <f t="shared" si="3"/>
        <v>Current Year 2010/11</v>
      </c>
      <c r="G5" s="489" t="str">
        <f t="shared" si="3"/>
        <v>Current Year 2011/12</v>
      </c>
      <c r="H5" s="489" t="str">
        <f t="shared" si="3"/>
        <v>Current Year 2012/13</v>
      </c>
      <c r="I5" s="489" t="str">
        <f t="shared" si="3"/>
        <v>Current Year 2013/14</v>
      </c>
      <c r="J5" s="489" t="str">
        <f t="shared" si="3"/>
        <v>Current Year 2014/15</v>
      </c>
      <c r="K5" s="489" t="str">
        <f t="shared" si="3"/>
        <v>Current Year 2015/16</v>
      </c>
      <c r="L5" s="489" t="str">
        <f t="shared" si="3"/>
        <v>Current Year 2016/17</v>
      </c>
      <c r="M5" s="489" t="str">
        <f t="shared" si="3"/>
        <v>Current Year 2017/18</v>
      </c>
      <c r="N5" s="489" t="str">
        <f t="shared" si="3"/>
        <v>Current Year 2018/19</v>
      </c>
      <c r="O5" s="489" t="str">
        <f t="shared" si="3"/>
        <v>Current Year 2019/20</v>
      </c>
      <c r="R5" s="492">
        <v>3</v>
      </c>
      <c r="S5" s="492">
        <v>6</v>
      </c>
      <c r="Z5" s="488" t="s">
        <v>1077</v>
      </c>
      <c r="AA5" s="488" t="s">
        <v>1078</v>
      </c>
      <c r="AB5" s="488" t="s">
        <v>1079</v>
      </c>
      <c r="AC5" s="488" t="s">
        <v>1080</v>
      </c>
    </row>
    <row r="6" spans="1:30" x14ac:dyDescent="0.2">
      <c r="A6" s="487" t="e">
        <f>#REF!</f>
        <v>#REF!</v>
      </c>
      <c r="B6" s="488" t="s">
        <v>91</v>
      </c>
      <c r="C6" s="488" t="s">
        <v>444</v>
      </c>
      <c r="D6" s="488" t="s">
        <v>445</v>
      </c>
      <c r="E6" s="489" t="str">
        <f t="shared" ref="E6:O6" si="4">E1-1&amp;"/"&amp;RIGHT(E1,2)</f>
        <v>2009/10</v>
      </c>
      <c r="F6" s="489" t="str">
        <f t="shared" si="4"/>
        <v>2010/11</v>
      </c>
      <c r="G6" s="489" t="str">
        <f t="shared" si="4"/>
        <v>2011/12</v>
      </c>
      <c r="H6" s="489" t="str">
        <f t="shared" si="4"/>
        <v>2012/13</v>
      </c>
      <c r="I6" s="489" t="str">
        <f t="shared" si="4"/>
        <v>2013/14</v>
      </c>
      <c r="J6" s="489" t="str">
        <f t="shared" si="4"/>
        <v>2014/15</v>
      </c>
      <c r="K6" s="489" t="str">
        <f t="shared" si="4"/>
        <v>2015/16</v>
      </c>
      <c r="L6" s="489" t="str">
        <f t="shared" si="4"/>
        <v>2016/17</v>
      </c>
      <c r="M6" s="489" t="str">
        <f t="shared" si="4"/>
        <v>2017/18</v>
      </c>
      <c r="N6" s="489" t="str">
        <f t="shared" si="4"/>
        <v>2018/19</v>
      </c>
      <c r="O6" s="489" t="str">
        <f t="shared" si="4"/>
        <v>2019/20</v>
      </c>
      <c r="R6" s="492">
        <v>4</v>
      </c>
      <c r="S6" s="498" t="s">
        <v>1081</v>
      </c>
      <c r="Z6" s="488" t="s">
        <v>1082</v>
      </c>
      <c r="AB6" s="488" t="s">
        <v>1083</v>
      </c>
      <c r="AC6" s="488" t="s">
        <v>1084</v>
      </c>
    </row>
    <row r="7" spans="1:30" x14ac:dyDescent="0.2">
      <c r="A7" s="487" t="e">
        <f>#REF!</f>
        <v>#REF!</v>
      </c>
      <c r="B7" s="488" t="s">
        <v>463</v>
      </c>
      <c r="C7" s="488" t="s">
        <v>464</v>
      </c>
      <c r="D7" s="488" t="s">
        <v>465</v>
      </c>
      <c r="E7" s="489" t="str">
        <f t="shared" ref="E7:O7" si="5">E1&amp;"/"&amp;RIGHT(E1,2)+1&amp;" Medium Term Revenue &amp; Expenditure Framework"</f>
        <v>2010/11 Medium Term Revenue &amp; Expenditure Framework</v>
      </c>
      <c r="F7" s="489" t="str">
        <f t="shared" si="5"/>
        <v>2011/12 Medium Term Revenue &amp; Expenditure Framework</v>
      </c>
      <c r="G7" s="489" t="str">
        <f t="shared" si="5"/>
        <v>2012/13 Medium Term Revenue &amp; Expenditure Framework</v>
      </c>
      <c r="H7" s="489" t="str">
        <f t="shared" si="5"/>
        <v>2013/14 Medium Term Revenue &amp; Expenditure Framework</v>
      </c>
      <c r="I7" s="489" t="str">
        <f t="shared" si="5"/>
        <v>2014/15 Medium Term Revenue &amp; Expenditure Framework</v>
      </c>
      <c r="J7" s="489" t="str">
        <f t="shared" si="5"/>
        <v>2015/16 Medium Term Revenue &amp; Expenditure Framework</v>
      </c>
      <c r="K7" s="489" t="str">
        <f t="shared" si="5"/>
        <v>2016/17 Medium Term Revenue &amp; Expenditure Framework</v>
      </c>
      <c r="L7" s="489" t="str">
        <f t="shared" si="5"/>
        <v>2017/18 Medium Term Revenue &amp; Expenditure Framework</v>
      </c>
      <c r="M7" s="489" t="str">
        <f t="shared" si="5"/>
        <v>2018/19 Medium Term Revenue &amp; Expenditure Framework</v>
      </c>
      <c r="N7" s="489" t="str">
        <f t="shared" si="5"/>
        <v>2019/20 Medium Term Revenue &amp; Expenditure Framework</v>
      </c>
      <c r="O7" s="489" t="str">
        <f t="shared" si="5"/>
        <v>2020/21 Medium Term Revenue &amp; Expenditure Framework</v>
      </c>
      <c r="R7" s="492">
        <v>5</v>
      </c>
      <c r="S7" s="494" t="s">
        <v>1085</v>
      </c>
      <c r="Z7" s="488" t="s">
        <v>1086</v>
      </c>
      <c r="AB7" s="488" t="s">
        <v>1087</v>
      </c>
      <c r="AC7" s="488" t="s">
        <v>1088</v>
      </c>
    </row>
    <row r="8" spans="1:30" x14ac:dyDescent="0.2">
      <c r="A8" s="487" t="e">
        <f>#REF!</f>
        <v>#REF!</v>
      </c>
      <c r="B8" s="488" t="s">
        <v>467</v>
      </c>
      <c r="C8" s="488" t="s">
        <v>468</v>
      </c>
      <c r="D8" s="488" t="s">
        <v>469</v>
      </c>
      <c r="E8" s="489" t="str">
        <f t="shared" ref="E8:O8" si="6">"Budget Year "&amp;E1&amp;"/"&amp;RIGHT(E1,2)+1</f>
        <v>Budget Year 2010/11</v>
      </c>
      <c r="F8" s="489" t="str">
        <f t="shared" si="6"/>
        <v>Budget Year 2011/12</v>
      </c>
      <c r="G8" s="489" t="str">
        <f t="shared" si="6"/>
        <v>Budget Year 2012/13</v>
      </c>
      <c r="H8" s="489" t="str">
        <f t="shared" si="6"/>
        <v>Budget Year 2013/14</v>
      </c>
      <c r="I8" s="489" t="str">
        <f t="shared" si="6"/>
        <v>Budget Year 2014/15</v>
      </c>
      <c r="J8" s="489" t="str">
        <f t="shared" si="6"/>
        <v>Budget Year 2015/16</v>
      </c>
      <c r="K8" s="489" t="str">
        <f t="shared" si="6"/>
        <v>Budget Year 2016/17</v>
      </c>
      <c r="L8" s="489" t="str">
        <f t="shared" si="6"/>
        <v>Budget Year 2017/18</v>
      </c>
      <c r="M8" s="489" t="str">
        <f t="shared" si="6"/>
        <v>Budget Year 2018/19</v>
      </c>
      <c r="N8" s="489" t="str">
        <f t="shared" si="6"/>
        <v>Budget Year 2019/20</v>
      </c>
      <c r="O8" s="489" t="str">
        <f t="shared" si="6"/>
        <v>Budget Year 2020/21</v>
      </c>
      <c r="R8" s="494" t="s">
        <v>1089</v>
      </c>
      <c r="Z8" s="488" t="s">
        <v>1090</v>
      </c>
      <c r="AB8" s="488" t="s">
        <v>1091</v>
      </c>
      <c r="AC8" s="488" t="s">
        <v>1078</v>
      </c>
    </row>
    <row r="9" spans="1:30" x14ac:dyDescent="0.2">
      <c r="A9" s="487" t="e">
        <f>#REF!</f>
        <v>#REF!</v>
      </c>
      <c r="B9" s="488" t="s">
        <v>470</v>
      </c>
      <c r="C9" s="488" t="s">
        <v>471</v>
      </c>
      <c r="D9" s="488" t="s">
        <v>472</v>
      </c>
      <c r="E9" s="489" t="str">
        <f t="shared" ref="E9:O9" si="7">"Budget Year +1 "&amp;E1+1&amp;"/"&amp;RIGHT(E1,2)+2</f>
        <v>Budget Year +1 2011/12</v>
      </c>
      <c r="F9" s="489" t="str">
        <f t="shared" si="7"/>
        <v>Budget Year +1 2012/13</v>
      </c>
      <c r="G9" s="489" t="str">
        <f t="shared" si="7"/>
        <v>Budget Year +1 2013/14</v>
      </c>
      <c r="H9" s="489" t="str">
        <f t="shared" si="7"/>
        <v>Budget Year +1 2014/15</v>
      </c>
      <c r="I9" s="489" t="str">
        <f t="shared" si="7"/>
        <v>Budget Year +1 2015/16</v>
      </c>
      <c r="J9" s="489" t="str">
        <f t="shared" si="7"/>
        <v>Budget Year +1 2016/17</v>
      </c>
      <c r="K9" s="489" t="str">
        <f t="shared" si="7"/>
        <v>Budget Year +1 2017/18</v>
      </c>
      <c r="L9" s="489" t="str">
        <f t="shared" si="7"/>
        <v>Budget Year +1 2018/19</v>
      </c>
      <c r="M9" s="489" t="str">
        <f t="shared" si="7"/>
        <v>Budget Year +1 2019/20</v>
      </c>
      <c r="N9" s="489" t="str">
        <f t="shared" si="7"/>
        <v>Budget Year +1 2020/21</v>
      </c>
      <c r="O9" s="489" t="str">
        <f t="shared" si="7"/>
        <v>Budget Year +1 2021/22</v>
      </c>
      <c r="Z9" s="488" t="s">
        <v>1092</v>
      </c>
    </row>
    <row r="10" spans="1:30" x14ac:dyDescent="0.2">
      <c r="A10" s="487" t="e">
        <f>#REF!</f>
        <v>#REF!</v>
      </c>
      <c r="B10" s="488" t="s">
        <v>473</v>
      </c>
      <c r="C10" s="488" t="s">
        <v>474</v>
      </c>
      <c r="D10" s="488" t="s">
        <v>475</v>
      </c>
      <c r="E10" s="489" t="str">
        <f t="shared" ref="E10:O10" si="8">"Budget Year +2 "&amp;E1+2&amp;"/"&amp;RIGHT(E1,2)+3</f>
        <v>Budget Year +2 2012/13</v>
      </c>
      <c r="F10" s="489" t="str">
        <f t="shared" si="8"/>
        <v>Budget Year +2 2013/14</v>
      </c>
      <c r="G10" s="489" t="str">
        <f t="shared" si="8"/>
        <v>Budget Year +2 2014/15</v>
      </c>
      <c r="H10" s="489" t="str">
        <f t="shared" si="8"/>
        <v>Budget Year +2 2015/16</v>
      </c>
      <c r="I10" s="489" t="str">
        <f t="shared" si="8"/>
        <v>Budget Year +2 2016/17</v>
      </c>
      <c r="J10" s="489" t="str">
        <f t="shared" si="8"/>
        <v>Budget Year +2 2017/18</v>
      </c>
      <c r="K10" s="489" t="str">
        <f t="shared" si="8"/>
        <v>Budget Year +2 2018/19</v>
      </c>
      <c r="L10" s="489" t="str">
        <f t="shared" si="8"/>
        <v>Budget Year +2 2019/20</v>
      </c>
      <c r="M10" s="489" t="str">
        <f t="shared" si="8"/>
        <v>Budget Year +2 2020/21</v>
      </c>
      <c r="N10" s="489" t="str">
        <f t="shared" si="8"/>
        <v>Budget Year +2 2021/22</v>
      </c>
      <c r="O10" s="489" t="str">
        <f t="shared" si="8"/>
        <v>Budget Year +2 2022/23</v>
      </c>
      <c r="Z10" s="488" t="s">
        <v>1093</v>
      </c>
    </row>
    <row r="11" spans="1:30" x14ac:dyDescent="0.2">
      <c r="A11" s="487" t="e">
        <f>#REF!</f>
        <v>#REF!</v>
      </c>
      <c r="B11" s="488" t="s">
        <v>218</v>
      </c>
      <c r="C11" s="488" t="s">
        <v>219</v>
      </c>
      <c r="D11" s="488" t="s">
        <v>220</v>
      </c>
      <c r="E11" s="489" t="str">
        <f t="shared" ref="E11:O11" si="9">"Forecast "&amp;E1+3&amp;"/"&amp;RIGHT(E1,2)+4</f>
        <v>Forecast 2013/14</v>
      </c>
      <c r="F11" s="489" t="str">
        <f t="shared" si="9"/>
        <v>Forecast 2014/15</v>
      </c>
      <c r="G11" s="489" t="str">
        <f t="shared" si="9"/>
        <v>Forecast 2015/16</v>
      </c>
      <c r="H11" s="489" t="str">
        <f t="shared" si="9"/>
        <v>Forecast 2016/17</v>
      </c>
      <c r="I11" s="489" t="str">
        <f t="shared" si="9"/>
        <v>Forecast 2017/18</v>
      </c>
      <c r="J11" s="489" t="str">
        <f t="shared" si="9"/>
        <v>Forecast 2018/19</v>
      </c>
      <c r="K11" s="489" t="str">
        <f t="shared" si="9"/>
        <v>Forecast 2019/20</v>
      </c>
      <c r="L11" s="489" t="str">
        <f t="shared" si="9"/>
        <v>Forecast 2020/21</v>
      </c>
      <c r="M11" s="489" t="str">
        <f t="shared" si="9"/>
        <v>Forecast 2021/22</v>
      </c>
      <c r="N11" s="489" t="str">
        <f t="shared" si="9"/>
        <v>Forecast 2022/23</v>
      </c>
      <c r="O11" s="489" t="str">
        <f t="shared" si="9"/>
        <v>Forecast 2023/24</v>
      </c>
      <c r="Z11" s="488" t="s">
        <v>1094</v>
      </c>
    </row>
    <row r="12" spans="1:30" x14ac:dyDescent="0.2">
      <c r="A12" s="487" t="e">
        <f>#REF!</f>
        <v>#REF!</v>
      </c>
      <c r="B12" s="488" t="s">
        <v>219</v>
      </c>
      <c r="C12" s="488" t="s">
        <v>220</v>
      </c>
      <c r="D12" s="488" t="s">
        <v>221</v>
      </c>
      <c r="E12" s="489" t="str">
        <f t="shared" ref="E12:O12" si="10">"Forecast "&amp;E1+4&amp;"/"&amp;RIGHT(E1,2)+5</f>
        <v>Forecast 2014/15</v>
      </c>
      <c r="F12" s="489" t="str">
        <f t="shared" si="10"/>
        <v>Forecast 2015/16</v>
      </c>
      <c r="G12" s="489" t="str">
        <f t="shared" si="10"/>
        <v>Forecast 2016/17</v>
      </c>
      <c r="H12" s="489" t="str">
        <f t="shared" si="10"/>
        <v>Forecast 2017/18</v>
      </c>
      <c r="I12" s="489" t="str">
        <f t="shared" si="10"/>
        <v>Forecast 2018/19</v>
      </c>
      <c r="J12" s="489" t="str">
        <f t="shared" si="10"/>
        <v>Forecast 2019/20</v>
      </c>
      <c r="K12" s="489" t="str">
        <f t="shared" si="10"/>
        <v>Forecast 2020/21</v>
      </c>
      <c r="L12" s="489" t="str">
        <f t="shared" si="10"/>
        <v>Forecast 2021/22</v>
      </c>
      <c r="M12" s="489" t="str">
        <f t="shared" si="10"/>
        <v>Forecast 2022/23</v>
      </c>
      <c r="N12" s="489" t="str">
        <f t="shared" si="10"/>
        <v>Forecast 2023/24</v>
      </c>
      <c r="O12" s="489" t="str">
        <f t="shared" si="10"/>
        <v>Forecast 2024/25</v>
      </c>
      <c r="Z12" s="488" t="s">
        <v>1095</v>
      </c>
    </row>
    <row r="13" spans="1:30" x14ac:dyDescent="0.2">
      <c r="A13" s="487" t="e">
        <f>#REF!</f>
        <v>#REF!</v>
      </c>
      <c r="B13" s="488" t="s">
        <v>220</v>
      </c>
      <c r="C13" s="488" t="s">
        <v>221</v>
      </c>
      <c r="D13" s="488" t="s">
        <v>95</v>
      </c>
      <c r="E13" s="489" t="str">
        <f t="shared" ref="E13:O13" si="11">"Forecast "&amp;E1+5&amp;"/"&amp;RIGHT(E1,2)+6</f>
        <v>Forecast 2015/16</v>
      </c>
      <c r="F13" s="489" t="str">
        <f t="shared" si="11"/>
        <v>Forecast 2016/17</v>
      </c>
      <c r="G13" s="489" t="str">
        <f t="shared" si="11"/>
        <v>Forecast 2017/18</v>
      </c>
      <c r="H13" s="489" t="str">
        <f t="shared" si="11"/>
        <v>Forecast 2018/19</v>
      </c>
      <c r="I13" s="489" t="str">
        <f t="shared" si="11"/>
        <v>Forecast 2019/20</v>
      </c>
      <c r="J13" s="489" t="str">
        <f t="shared" si="11"/>
        <v>Forecast 2020/21</v>
      </c>
      <c r="K13" s="489" t="str">
        <f t="shared" si="11"/>
        <v>Forecast 2021/22</v>
      </c>
      <c r="L13" s="489" t="str">
        <f t="shared" si="11"/>
        <v>Forecast 2022/23</v>
      </c>
      <c r="M13" s="489" t="str">
        <f t="shared" si="11"/>
        <v>Forecast 2023/24</v>
      </c>
      <c r="N13" s="489" t="str">
        <f t="shared" si="11"/>
        <v>Forecast 2024/25</v>
      </c>
      <c r="O13" s="489" t="str">
        <f t="shared" si="11"/>
        <v>Forecast 2025/26</v>
      </c>
    </row>
    <row r="14" spans="1:30" x14ac:dyDescent="0.2">
      <c r="A14" s="487" t="e">
        <f>#REF!</f>
        <v>#REF!</v>
      </c>
      <c r="B14" s="488" t="s">
        <v>221</v>
      </c>
      <c r="C14" s="488" t="s">
        <v>95</v>
      </c>
      <c r="D14" s="488" t="s">
        <v>96</v>
      </c>
      <c r="E14" s="489" t="str">
        <f t="shared" ref="E14:O14" si="12">"Forecast "&amp;E1+6&amp;"/"&amp;RIGHT(E1,2)+7</f>
        <v>Forecast 2016/17</v>
      </c>
      <c r="F14" s="489" t="str">
        <f t="shared" si="12"/>
        <v>Forecast 2017/18</v>
      </c>
      <c r="G14" s="489" t="str">
        <f t="shared" si="12"/>
        <v>Forecast 2018/19</v>
      </c>
      <c r="H14" s="489" t="str">
        <f t="shared" si="12"/>
        <v>Forecast 2019/20</v>
      </c>
      <c r="I14" s="489" t="str">
        <f t="shared" si="12"/>
        <v>Forecast 2020/21</v>
      </c>
      <c r="J14" s="489" t="str">
        <f t="shared" si="12"/>
        <v>Forecast 2021/22</v>
      </c>
      <c r="K14" s="489" t="str">
        <f t="shared" si="12"/>
        <v>Forecast 2022/23</v>
      </c>
      <c r="L14" s="489" t="str">
        <f t="shared" si="12"/>
        <v>Forecast 2023/24</v>
      </c>
      <c r="M14" s="489" t="str">
        <f t="shared" si="12"/>
        <v>Forecast 2024/25</v>
      </c>
      <c r="N14" s="489" t="str">
        <f t="shared" si="12"/>
        <v>Forecast 2025/26</v>
      </c>
      <c r="O14" s="489" t="str">
        <f t="shared" si="12"/>
        <v>Forecast 2026/27</v>
      </c>
      <c r="Z14" s="485" t="s">
        <v>1004</v>
      </c>
      <c r="AA14" s="485" t="s">
        <v>1096</v>
      </c>
      <c r="AB14" s="485" t="s">
        <v>1097</v>
      </c>
      <c r="AC14" s="485" t="s">
        <v>1002</v>
      </c>
      <c r="AD14" s="485" t="s">
        <v>1098</v>
      </c>
    </row>
    <row r="15" spans="1:30" x14ac:dyDescent="0.2">
      <c r="A15" s="487" t="e">
        <f>#REF!</f>
        <v>#REF!</v>
      </c>
      <c r="B15" s="488" t="s">
        <v>95</v>
      </c>
      <c r="C15" s="488" t="s">
        <v>96</v>
      </c>
      <c r="D15" s="488" t="s">
        <v>97</v>
      </c>
      <c r="E15" s="489" t="str">
        <f t="shared" ref="E15:O15" si="13">"Forecast "&amp;E1+7&amp;"/"&amp;RIGHT(E1,2)+8</f>
        <v>Forecast 2017/18</v>
      </c>
      <c r="F15" s="489" t="str">
        <f t="shared" si="13"/>
        <v>Forecast 2018/19</v>
      </c>
      <c r="G15" s="489" t="str">
        <f t="shared" si="13"/>
        <v>Forecast 2019/20</v>
      </c>
      <c r="H15" s="489" t="str">
        <f t="shared" si="13"/>
        <v>Forecast 2020/21</v>
      </c>
      <c r="I15" s="489" t="str">
        <f t="shared" si="13"/>
        <v>Forecast 2021/22</v>
      </c>
      <c r="J15" s="489" t="str">
        <f t="shared" si="13"/>
        <v>Forecast 2022/23</v>
      </c>
      <c r="K15" s="489" t="str">
        <f t="shared" si="13"/>
        <v>Forecast 2023/24</v>
      </c>
      <c r="L15" s="489" t="str">
        <f t="shared" si="13"/>
        <v>Forecast 2024/25</v>
      </c>
      <c r="M15" s="489" t="str">
        <f t="shared" si="13"/>
        <v>Forecast 2025/26</v>
      </c>
      <c r="N15" s="489" t="str">
        <f t="shared" si="13"/>
        <v>Forecast 2026/27</v>
      </c>
      <c r="O15" s="489" t="str">
        <f t="shared" si="13"/>
        <v>Forecast 2027/28</v>
      </c>
    </row>
    <row r="16" spans="1:30" x14ac:dyDescent="0.2">
      <c r="A16" s="487" t="e">
        <f>#REF!</f>
        <v>#REF!</v>
      </c>
      <c r="B16" s="488" t="s">
        <v>96</v>
      </c>
      <c r="C16" s="488" t="s">
        <v>97</v>
      </c>
      <c r="D16" s="488" t="s">
        <v>98</v>
      </c>
      <c r="E16" s="489" t="str">
        <f t="shared" ref="E16:O16" si="14">"Forecast "&amp;E1+8&amp;"/"&amp;RIGHT(E1,2)+9</f>
        <v>Forecast 2018/19</v>
      </c>
      <c r="F16" s="489" t="str">
        <f t="shared" si="14"/>
        <v>Forecast 2019/20</v>
      </c>
      <c r="G16" s="489" t="str">
        <f t="shared" si="14"/>
        <v>Forecast 2020/21</v>
      </c>
      <c r="H16" s="489" t="str">
        <f t="shared" si="14"/>
        <v>Forecast 2021/22</v>
      </c>
      <c r="I16" s="489" t="str">
        <f t="shared" si="14"/>
        <v>Forecast 2022/23</v>
      </c>
      <c r="J16" s="489" t="str">
        <f t="shared" si="14"/>
        <v>Forecast 2023/24</v>
      </c>
      <c r="K16" s="489" t="str">
        <f t="shared" si="14"/>
        <v>Forecast 2024/25</v>
      </c>
      <c r="L16" s="489" t="str">
        <f t="shared" si="14"/>
        <v>Forecast 2025/26</v>
      </c>
      <c r="M16" s="489" t="str">
        <f t="shared" si="14"/>
        <v>Forecast 2026/27</v>
      </c>
      <c r="N16" s="489" t="str">
        <f t="shared" si="14"/>
        <v>Forecast 2027/28</v>
      </c>
      <c r="O16" s="489" t="str">
        <f t="shared" si="14"/>
        <v>Forecast 2028/29</v>
      </c>
      <c r="Z16" s="488" t="s">
        <v>858</v>
      </c>
      <c r="AA16" s="488" t="s">
        <v>1099</v>
      </c>
      <c r="AB16" s="488" t="s">
        <v>510</v>
      </c>
      <c r="AC16" s="488" t="s">
        <v>1100</v>
      </c>
      <c r="AD16" s="488" t="s">
        <v>1101</v>
      </c>
    </row>
    <row r="17" spans="1:30" x14ac:dyDescent="0.2">
      <c r="A17" s="487" t="e">
        <f>#REF!</f>
        <v>#REF!</v>
      </c>
      <c r="B17" s="488" t="s">
        <v>97</v>
      </c>
      <c r="C17" s="488" t="s">
        <v>98</v>
      </c>
      <c r="D17" s="488" t="s">
        <v>13</v>
      </c>
      <c r="E17" s="489" t="str">
        <f t="shared" ref="E17:O17" si="15">"Forecast "&amp;E1+9&amp;"/"&amp;RIGHT(E1,2)+10</f>
        <v>Forecast 2019/20</v>
      </c>
      <c r="F17" s="489" t="str">
        <f t="shared" si="15"/>
        <v>Forecast 2020/21</v>
      </c>
      <c r="G17" s="489" t="str">
        <f t="shared" si="15"/>
        <v>Forecast 2021/22</v>
      </c>
      <c r="H17" s="489" t="str">
        <f t="shared" si="15"/>
        <v>Forecast 2022/23</v>
      </c>
      <c r="I17" s="489" t="str">
        <f t="shared" si="15"/>
        <v>Forecast 2023/24</v>
      </c>
      <c r="J17" s="489" t="str">
        <f t="shared" si="15"/>
        <v>Forecast 2024/25</v>
      </c>
      <c r="K17" s="489" t="str">
        <f t="shared" si="15"/>
        <v>Forecast 2025/26</v>
      </c>
      <c r="L17" s="489" t="str">
        <f t="shared" si="15"/>
        <v>Forecast 2026/27</v>
      </c>
      <c r="M17" s="489" t="str">
        <f t="shared" si="15"/>
        <v>Forecast 2027/28</v>
      </c>
      <c r="N17" s="489" t="str">
        <f t="shared" si="15"/>
        <v>Forecast 2028/29</v>
      </c>
      <c r="O17" s="489" t="str">
        <f t="shared" si="15"/>
        <v>Forecast 2029/30</v>
      </c>
      <c r="Z17" s="488" t="s">
        <v>862</v>
      </c>
      <c r="AA17" s="488" t="s">
        <v>1102</v>
      </c>
      <c r="AB17" s="488" t="s">
        <v>859</v>
      </c>
      <c r="AC17" s="488" t="s">
        <v>1103</v>
      </c>
      <c r="AD17" s="488" t="s">
        <v>1104</v>
      </c>
    </row>
    <row r="18" spans="1:30" x14ac:dyDescent="0.2">
      <c r="A18" s="487" t="e">
        <f>#REF!</f>
        <v>#REF!</v>
      </c>
      <c r="B18" s="488" t="s">
        <v>98</v>
      </c>
      <c r="C18" s="488" t="s">
        <v>13</v>
      </c>
      <c r="D18" s="488" t="s">
        <v>12</v>
      </c>
      <c r="E18" s="489" t="str">
        <f t="shared" ref="E18:O18" si="16">"Forecast "&amp;E1+10&amp;"/"&amp;RIGHT(E1,2)+11</f>
        <v>Forecast 2020/21</v>
      </c>
      <c r="F18" s="489" t="str">
        <f t="shared" si="16"/>
        <v>Forecast 2021/22</v>
      </c>
      <c r="G18" s="489" t="str">
        <f t="shared" si="16"/>
        <v>Forecast 2022/23</v>
      </c>
      <c r="H18" s="489" t="str">
        <f t="shared" si="16"/>
        <v>Forecast 2023/24</v>
      </c>
      <c r="I18" s="489" t="str">
        <f t="shared" si="16"/>
        <v>Forecast 2024/25</v>
      </c>
      <c r="J18" s="489" t="str">
        <f t="shared" si="16"/>
        <v>Forecast 2025/26</v>
      </c>
      <c r="K18" s="489" t="str">
        <f t="shared" si="16"/>
        <v>Forecast 2026/27</v>
      </c>
      <c r="L18" s="489" t="str">
        <f t="shared" si="16"/>
        <v>Forecast 2027/28</v>
      </c>
      <c r="M18" s="489" t="str">
        <f t="shared" si="16"/>
        <v>Forecast 2028/29</v>
      </c>
      <c r="N18" s="489" t="str">
        <f t="shared" si="16"/>
        <v>Forecast 2029/30</v>
      </c>
      <c r="O18" s="489" t="str">
        <f t="shared" si="16"/>
        <v>Forecast 2030/31</v>
      </c>
      <c r="Z18" s="488" t="s">
        <v>866</v>
      </c>
      <c r="AA18" s="488" t="s">
        <v>1105</v>
      </c>
      <c r="AB18" s="488" t="s">
        <v>860</v>
      </c>
      <c r="AC18" s="488" t="s">
        <v>1106</v>
      </c>
      <c r="AD18" s="488" t="s">
        <v>1107</v>
      </c>
    </row>
    <row r="19" spans="1:30" x14ac:dyDescent="0.2">
      <c r="A19" s="487" t="e">
        <f>#REF!</f>
        <v>#REF!</v>
      </c>
      <c r="B19" s="488" t="s">
        <v>13</v>
      </c>
      <c r="C19" s="488" t="s">
        <v>12</v>
      </c>
      <c r="D19" s="488" t="s">
        <v>99</v>
      </c>
      <c r="E19" s="489" t="str">
        <f t="shared" ref="E19:O19" si="17">"Forecast "&amp;E1+11&amp;"/"&amp;RIGHT(E1,2)+12</f>
        <v>Forecast 2021/22</v>
      </c>
      <c r="F19" s="489" t="str">
        <f t="shared" si="17"/>
        <v>Forecast 2022/23</v>
      </c>
      <c r="G19" s="489" t="str">
        <f t="shared" si="17"/>
        <v>Forecast 2023/24</v>
      </c>
      <c r="H19" s="489" t="str">
        <f t="shared" si="17"/>
        <v>Forecast 2024/25</v>
      </c>
      <c r="I19" s="489" t="str">
        <f t="shared" si="17"/>
        <v>Forecast 2025/26</v>
      </c>
      <c r="J19" s="489" t="str">
        <f t="shared" si="17"/>
        <v>Forecast 2026/27</v>
      </c>
      <c r="K19" s="489" t="str">
        <f t="shared" si="17"/>
        <v>Forecast 2027/28</v>
      </c>
      <c r="L19" s="489" t="str">
        <f t="shared" si="17"/>
        <v>Forecast 2028/29</v>
      </c>
      <c r="M19" s="489" t="str">
        <f t="shared" si="17"/>
        <v>Forecast 2029/30</v>
      </c>
      <c r="N19" s="489" t="str">
        <f t="shared" si="17"/>
        <v>Forecast 2030/31</v>
      </c>
      <c r="O19" s="489" t="str">
        <f t="shared" si="17"/>
        <v>Forecast 2031/32</v>
      </c>
      <c r="Z19" s="488" t="s">
        <v>875</v>
      </c>
      <c r="AA19" s="488" t="s">
        <v>1108</v>
      </c>
      <c r="AB19" s="488" t="s">
        <v>861</v>
      </c>
      <c r="AC19" s="488" t="s">
        <v>1109</v>
      </c>
      <c r="AD19" s="488" t="s">
        <v>1110</v>
      </c>
    </row>
    <row r="20" spans="1:30" x14ac:dyDescent="0.2">
      <c r="A20" s="487" t="e">
        <f>#REF!</f>
        <v>#REF!</v>
      </c>
      <c r="B20" s="488" t="s">
        <v>12</v>
      </c>
      <c r="C20" s="488" t="s">
        <v>99</v>
      </c>
      <c r="D20" s="488" t="s">
        <v>373</v>
      </c>
      <c r="E20" s="489" t="str">
        <f t="shared" ref="E20:O20" si="18">"Forecast "&amp;E1+12&amp;"/"&amp;RIGHT(E1,2)+13</f>
        <v>Forecast 2022/23</v>
      </c>
      <c r="F20" s="489" t="str">
        <f t="shared" si="18"/>
        <v>Forecast 2023/24</v>
      </c>
      <c r="G20" s="489" t="str">
        <f t="shared" si="18"/>
        <v>Forecast 2024/25</v>
      </c>
      <c r="H20" s="489" t="str">
        <f t="shared" si="18"/>
        <v>Forecast 2025/26</v>
      </c>
      <c r="I20" s="489" t="str">
        <f t="shared" si="18"/>
        <v>Forecast 2026/27</v>
      </c>
      <c r="J20" s="489" t="str">
        <f t="shared" si="18"/>
        <v>Forecast 2027/28</v>
      </c>
      <c r="K20" s="489" t="str">
        <f t="shared" si="18"/>
        <v>Forecast 2028/29</v>
      </c>
      <c r="L20" s="489" t="str">
        <f t="shared" si="18"/>
        <v>Forecast 2029/30</v>
      </c>
      <c r="M20" s="489" t="str">
        <f t="shared" si="18"/>
        <v>Forecast 2030/31</v>
      </c>
      <c r="N20" s="489" t="str">
        <f t="shared" si="18"/>
        <v>Forecast 2031/32</v>
      </c>
      <c r="O20" s="489" t="str">
        <f t="shared" si="18"/>
        <v>Forecast 2032/33</v>
      </c>
      <c r="Z20" s="488" t="s">
        <v>885</v>
      </c>
      <c r="AA20" s="488" t="s">
        <v>1111</v>
      </c>
      <c r="AB20" s="488" t="s">
        <v>863</v>
      </c>
      <c r="AD20" s="488" t="s">
        <v>1112</v>
      </c>
    </row>
    <row r="21" spans="1:30" x14ac:dyDescent="0.2">
      <c r="A21" s="487" t="e">
        <f>#REF!</f>
        <v>#REF!</v>
      </c>
      <c r="B21" s="488" t="s">
        <v>99</v>
      </c>
      <c r="C21" s="488" t="s">
        <v>373</v>
      </c>
      <c r="D21" s="488" t="s">
        <v>476</v>
      </c>
      <c r="E21" s="489" t="str">
        <f t="shared" ref="E21:O21" si="19">"Forecast "&amp;E1+13&amp;"/"&amp;RIGHT(E1,2)+14</f>
        <v>Forecast 2023/24</v>
      </c>
      <c r="F21" s="489" t="str">
        <f t="shared" si="19"/>
        <v>Forecast 2024/25</v>
      </c>
      <c r="G21" s="489" t="str">
        <f t="shared" si="19"/>
        <v>Forecast 2025/26</v>
      </c>
      <c r="H21" s="489" t="str">
        <f t="shared" si="19"/>
        <v>Forecast 2026/27</v>
      </c>
      <c r="I21" s="489" t="str">
        <f t="shared" si="19"/>
        <v>Forecast 2027/28</v>
      </c>
      <c r="J21" s="489" t="str">
        <f t="shared" si="19"/>
        <v>Forecast 2028/29</v>
      </c>
      <c r="K21" s="489" t="str">
        <f t="shared" si="19"/>
        <v>Forecast 2029/30</v>
      </c>
      <c r="L21" s="489" t="str">
        <f t="shared" si="19"/>
        <v>Forecast 2030/31</v>
      </c>
      <c r="M21" s="489" t="str">
        <f t="shared" si="19"/>
        <v>Forecast 2031/32</v>
      </c>
      <c r="N21" s="489" t="str">
        <f t="shared" si="19"/>
        <v>Forecast 2032/33</v>
      </c>
      <c r="O21" s="489" t="str">
        <f t="shared" si="19"/>
        <v>Forecast 2033/34</v>
      </c>
      <c r="Z21" s="488" t="s">
        <v>890</v>
      </c>
      <c r="AA21" s="488" t="s">
        <v>1113</v>
      </c>
      <c r="AB21" s="488" t="s">
        <v>864</v>
      </c>
      <c r="AD21" s="488" t="s">
        <v>1114</v>
      </c>
    </row>
    <row r="22" spans="1:30" x14ac:dyDescent="0.2">
      <c r="A22" s="487" t="e">
        <f>#REF!</f>
        <v>#REF!</v>
      </c>
      <c r="B22" s="488" t="s">
        <v>373</v>
      </c>
      <c r="C22" s="488" t="s">
        <v>476</v>
      </c>
      <c r="D22" s="488" t="s">
        <v>477</v>
      </c>
      <c r="E22" s="489" t="str">
        <f t="shared" ref="E22:O22" si="20">"Forecast "&amp;E1+14&amp;"/"&amp;RIGHT(E1,2)+15</f>
        <v>Forecast 2024/25</v>
      </c>
      <c r="F22" s="489" t="str">
        <f t="shared" si="20"/>
        <v>Forecast 2025/26</v>
      </c>
      <c r="G22" s="489" t="str">
        <f t="shared" si="20"/>
        <v>Forecast 2026/27</v>
      </c>
      <c r="H22" s="489" t="str">
        <f t="shared" si="20"/>
        <v>Forecast 2027/28</v>
      </c>
      <c r="I22" s="489" t="str">
        <f t="shared" si="20"/>
        <v>Forecast 2028/29</v>
      </c>
      <c r="J22" s="489" t="str">
        <f t="shared" si="20"/>
        <v>Forecast 2029/30</v>
      </c>
      <c r="K22" s="489" t="str">
        <f t="shared" si="20"/>
        <v>Forecast 2030/31</v>
      </c>
      <c r="L22" s="489" t="str">
        <f t="shared" si="20"/>
        <v>Forecast 2031/32</v>
      </c>
      <c r="M22" s="489" t="str">
        <f t="shared" si="20"/>
        <v>Forecast 2032/33</v>
      </c>
      <c r="N22" s="489" t="str">
        <f t="shared" si="20"/>
        <v>Forecast 2033/34</v>
      </c>
      <c r="O22" s="489" t="str">
        <f t="shared" si="20"/>
        <v>Forecast 2034/35</v>
      </c>
      <c r="Z22" s="488" t="s">
        <v>897</v>
      </c>
      <c r="AA22" s="488" t="s">
        <v>1115</v>
      </c>
      <c r="AB22" s="488" t="s">
        <v>865</v>
      </c>
      <c r="AD22" s="488" t="s">
        <v>1116</v>
      </c>
    </row>
    <row r="23" spans="1:30" x14ac:dyDescent="0.2">
      <c r="A23" s="487" t="s">
        <v>478</v>
      </c>
      <c r="B23" s="488" t="s">
        <v>265</v>
      </c>
      <c r="C23" s="488" t="s">
        <v>479</v>
      </c>
      <c r="D23" s="488" t="s">
        <v>480</v>
      </c>
      <c r="E23" s="489" t="str">
        <f t="shared" ref="E23:O23" si="21">"Annual target " &amp; E1&amp;"/"&amp;RIGHT(E1,2)+1</f>
        <v>Annual target 2010/11</v>
      </c>
      <c r="F23" s="489" t="str">
        <f t="shared" si="21"/>
        <v>Annual target 2011/12</v>
      </c>
      <c r="G23" s="489" t="str">
        <f t="shared" si="21"/>
        <v>Annual target 2012/13</v>
      </c>
      <c r="H23" s="489" t="str">
        <f t="shared" si="21"/>
        <v>Annual target 2013/14</v>
      </c>
      <c r="I23" s="489" t="str">
        <f t="shared" si="21"/>
        <v>Annual target 2014/15</v>
      </c>
      <c r="J23" s="489" t="str">
        <f t="shared" si="21"/>
        <v>Annual target 2015/16</v>
      </c>
      <c r="K23" s="489" t="str">
        <f t="shared" si="21"/>
        <v>Annual target 2016/17</v>
      </c>
      <c r="L23" s="489" t="str">
        <f t="shared" si="21"/>
        <v>Annual target 2017/18</v>
      </c>
      <c r="M23" s="489" t="str">
        <f t="shared" si="21"/>
        <v>Annual target 2018/19</v>
      </c>
      <c r="N23" s="489" t="str">
        <f t="shared" si="21"/>
        <v>Annual target 2019/20</v>
      </c>
      <c r="O23" s="489" t="str">
        <f t="shared" si="21"/>
        <v>Annual target 2020/21</v>
      </c>
      <c r="Z23" s="488" t="s">
        <v>901</v>
      </c>
      <c r="AA23" s="488" t="s">
        <v>500</v>
      </c>
      <c r="AB23" s="488" t="s">
        <v>867</v>
      </c>
      <c r="AD23" s="488" t="s">
        <v>1117</v>
      </c>
    </row>
    <row r="24" spans="1:30" x14ac:dyDescent="0.2">
      <c r="A24" s="499" t="str">
        <f>A23</f>
        <v>Adjustments Budget</v>
      </c>
      <c r="B24" s="500" t="s">
        <v>266</v>
      </c>
      <c r="C24" s="500" t="s">
        <v>481</v>
      </c>
      <c r="D24" s="500" t="s">
        <v>482</v>
      </c>
      <c r="E24" s="496" t="str">
        <f t="shared" ref="E24:O24" si="22">"Revised target "&amp; E1&amp;"/"&amp;RIGHT(E1,2)+1</f>
        <v>Revised target 2010/11</v>
      </c>
      <c r="F24" s="496" t="str">
        <f t="shared" si="22"/>
        <v>Revised target 2011/12</v>
      </c>
      <c r="G24" s="496" t="str">
        <f t="shared" si="22"/>
        <v>Revised target 2012/13</v>
      </c>
      <c r="H24" s="496" t="str">
        <f t="shared" si="22"/>
        <v>Revised target 2013/14</v>
      </c>
      <c r="I24" s="496" t="str">
        <f t="shared" si="22"/>
        <v>Revised target 2014/15</v>
      </c>
      <c r="J24" s="496" t="str">
        <f t="shared" si="22"/>
        <v>Revised target 2015/16</v>
      </c>
      <c r="K24" s="496" t="str">
        <f t="shared" si="22"/>
        <v>Revised target 2016/17</v>
      </c>
      <c r="L24" s="496" t="str">
        <f t="shared" si="22"/>
        <v>Revised target 2017/18</v>
      </c>
      <c r="M24" s="496" t="str">
        <f t="shared" si="22"/>
        <v>Revised target 2018/19</v>
      </c>
      <c r="N24" s="496" t="str">
        <f t="shared" si="22"/>
        <v>Revised target 2019/20</v>
      </c>
      <c r="O24" s="496" t="str">
        <f t="shared" si="22"/>
        <v>Revised target 2020/21</v>
      </c>
      <c r="Z24" s="488" t="s">
        <v>906</v>
      </c>
      <c r="AA24" s="488" t="s">
        <v>1118</v>
      </c>
      <c r="AB24" s="488" t="s">
        <v>868</v>
      </c>
      <c r="AD24" s="488" t="s">
        <v>1119</v>
      </c>
    </row>
    <row r="25" spans="1:30" ht="18" x14ac:dyDescent="0.25">
      <c r="A25" s="501" t="s">
        <v>1120</v>
      </c>
      <c r="Z25" s="488" t="s">
        <v>911</v>
      </c>
      <c r="AA25" s="488" t="s">
        <v>1121</v>
      </c>
      <c r="AB25" s="488" t="s">
        <v>869</v>
      </c>
      <c r="AD25" s="488" t="s">
        <v>1122</v>
      </c>
    </row>
    <row r="26" spans="1:30" x14ac:dyDescent="0.2">
      <c r="Z26" s="488" t="s">
        <v>929</v>
      </c>
      <c r="AA26" s="488" t="s">
        <v>1123</v>
      </c>
      <c r="AB26" s="488" t="s">
        <v>870</v>
      </c>
      <c r="AD26" s="488" t="s">
        <v>1124</v>
      </c>
    </row>
    <row r="27" spans="1:30" ht="12.75" x14ac:dyDescent="0.2">
      <c r="A27" s="502" t="s">
        <v>561</v>
      </c>
      <c r="B27" s="502">
        <v>1</v>
      </c>
      <c r="C27" s="502"/>
      <c r="D27" s="502"/>
      <c r="Z27" s="488" t="s">
        <v>187</v>
      </c>
      <c r="AA27" s="488" t="s">
        <v>1125</v>
      </c>
      <c r="AB27" s="488" t="s">
        <v>871</v>
      </c>
      <c r="AD27" s="488" t="s">
        <v>1126</v>
      </c>
    </row>
    <row r="28" spans="1:30" ht="12.75" x14ac:dyDescent="0.2">
      <c r="A28" s="502" t="s">
        <v>562</v>
      </c>
      <c r="B28" s="502" t="str">
        <f>INDEX(B29:B307,B27,1)</f>
        <v>Choose name from list</v>
      </c>
      <c r="C28" s="502"/>
      <c r="D28" s="502"/>
      <c r="Z28" s="488" t="s">
        <v>937</v>
      </c>
      <c r="AA28" s="488" t="s">
        <v>1127</v>
      </c>
      <c r="AB28" s="488" t="s">
        <v>872</v>
      </c>
      <c r="AD28" s="488" t="s">
        <v>1128</v>
      </c>
    </row>
    <row r="29" spans="1:30" ht="12.75" x14ac:dyDescent="0.2">
      <c r="A29" s="502"/>
      <c r="B29" s="502" t="s">
        <v>563</v>
      </c>
      <c r="C29" s="502" t="s">
        <v>564</v>
      </c>
      <c r="D29" s="502"/>
      <c r="Z29" s="488" t="s">
        <v>940</v>
      </c>
      <c r="AA29" s="488" t="s">
        <v>1129</v>
      </c>
      <c r="AB29" s="488" t="s">
        <v>873</v>
      </c>
      <c r="AD29" s="488" t="s">
        <v>1130</v>
      </c>
    </row>
    <row r="30" spans="1:30" ht="12.75" x14ac:dyDescent="0.2">
      <c r="A30" s="502"/>
      <c r="B30" s="505" t="s">
        <v>803</v>
      </c>
      <c r="C30" s="505" t="s">
        <v>1131</v>
      </c>
      <c r="D30" s="502"/>
      <c r="Z30" s="488" t="s">
        <v>941</v>
      </c>
      <c r="AA30" s="488" t="s">
        <v>1132</v>
      </c>
      <c r="AB30" s="488" t="s">
        <v>874</v>
      </c>
    </row>
    <row r="31" spans="1:30" ht="12.75" x14ac:dyDescent="0.2">
      <c r="A31" s="502"/>
      <c r="B31" s="505" t="s">
        <v>804</v>
      </c>
      <c r="C31" s="506" t="s">
        <v>1131</v>
      </c>
      <c r="D31" s="502"/>
      <c r="Z31" s="488" t="s">
        <v>952</v>
      </c>
      <c r="AA31" s="488" t="s">
        <v>1133</v>
      </c>
      <c r="AB31" s="488" t="s">
        <v>861</v>
      </c>
    </row>
    <row r="32" spans="1:30" ht="12.75" x14ac:dyDescent="0.2">
      <c r="A32" s="502"/>
      <c r="B32" s="505" t="s">
        <v>984</v>
      </c>
      <c r="C32" s="505" t="s">
        <v>1131</v>
      </c>
      <c r="D32" s="502"/>
      <c r="Z32" s="488" t="s">
        <v>955</v>
      </c>
      <c r="AA32" s="488" t="s">
        <v>90</v>
      </c>
      <c r="AB32" s="488" t="s">
        <v>876</v>
      </c>
    </row>
    <row r="33" spans="1:28" ht="12.75" x14ac:dyDescent="0.2">
      <c r="A33" s="502"/>
      <c r="B33" s="505" t="s">
        <v>599</v>
      </c>
      <c r="C33" s="505" t="s">
        <v>1131</v>
      </c>
      <c r="D33" s="502"/>
      <c r="Z33" s="488" t="s">
        <v>957</v>
      </c>
      <c r="AA33" s="488" t="s">
        <v>1134</v>
      </c>
      <c r="AB33" s="488" t="s">
        <v>877</v>
      </c>
    </row>
    <row r="34" spans="1:28" ht="12.75" x14ac:dyDescent="0.2">
      <c r="A34" s="502"/>
      <c r="B34" s="505" t="s">
        <v>600</v>
      </c>
      <c r="C34" s="505" t="s">
        <v>1131</v>
      </c>
      <c r="D34" s="502"/>
      <c r="Z34" s="488" t="s">
        <v>958</v>
      </c>
      <c r="AA34" s="488" t="s">
        <v>1135</v>
      </c>
      <c r="AB34" s="488" t="s">
        <v>878</v>
      </c>
    </row>
    <row r="35" spans="1:28" ht="12.75" x14ac:dyDescent="0.2">
      <c r="A35" s="502"/>
      <c r="B35" s="505" t="s">
        <v>601</v>
      </c>
      <c r="C35" s="505" t="s">
        <v>1131</v>
      </c>
      <c r="D35" s="502"/>
      <c r="Z35" s="488" t="s">
        <v>965</v>
      </c>
      <c r="AA35" s="488" t="s">
        <v>1136</v>
      </c>
      <c r="AB35" s="488" t="s">
        <v>879</v>
      </c>
    </row>
    <row r="36" spans="1:28" ht="12.75" x14ac:dyDescent="0.2">
      <c r="A36" s="502"/>
      <c r="B36" s="505" t="s">
        <v>602</v>
      </c>
      <c r="C36" s="505" t="s">
        <v>1131</v>
      </c>
      <c r="D36" s="502"/>
      <c r="Z36" s="488" t="s">
        <v>966</v>
      </c>
      <c r="AA36" s="488" t="s">
        <v>1137</v>
      </c>
      <c r="AB36" s="488" t="s">
        <v>880</v>
      </c>
    </row>
    <row r="37" spans="1:28" ht="12.75" x14ac:dyDescent="0.2">
      <c r="A37" s="502"/>
      <c r="B37" s="505" t="s">
        <v>603</v>
      </c>
      <c r="C37" s="506" t="s">
        <v>1131</v>
      </c>
      <c r="D37" s="502"/>
      <c r="Z37" s="488" t="s">
        <v>967</v>
      </c>
      <c r="AA37" s="488" t="s">
        <v>1138</v>
      </c>
      <c r="AB37" s="488" t="s">
        <v>881</v>
      </c>
    </row>
    <row r="38" spans="1:28" ht="12.75" x14ac:dyDescent="0.2">
      <c r="A38" s="502"/>
      <c r="B38" s="505" t="s">
        <v>793</v>
      </c>
      <c r="C38" s="505" t="s">
        <v>1131</v>
      </c>
      <c r="D38" s="502"/>
      <c r="Z38" s="488" t="s">
        <v>968</v>
      </c>
      <c r="AA38" s="488" t="s">
        <v>1139</v>
      </c>
      <c r="AB38" s="488" t="s">
        <v>882</v>
      </c>
    </row>
    <row r="39" spans="1:28" ht="12.75" x14ac:dyDescent="0.2">
      <c r="A39" s="502"/>
      <c r="B39" s="505" t="s">
        <v>840</v>
      </c>
      <c r="C39" s="505" t="s">
        <v>1131</v>
      </c>
      <c r="D39" s="502"/>
      <c r="Z39" s="488" t="s">
        <v>983</v>
      </c>
      <c r="AA39" s="488" t="s">
        <v>1140</v>
      </c>
      <c r="AB39" s="488" t="s">
        <v>883</v>
      </c>
    </row>
    <row r="40" spans="1:28" ht="12.75" x14ac:dyDescent="0.2">
      <c r="A40" s="502"/>
      <c r="B40" s="505" t="s">
        <v>604</v>
      </c>
      <c r="C40" s="505" t="s">
        <v>1131</v>
      </c>
      <c r="D40" s="502"/>
      <c r="Z40" s="488" t="s">
        <v>969</v>
      </c>
      <c r="AA40" s="488" t="s">
        <v>1141</v>
      </c>
      <c r="AB40" s="488" t="s">
        <v>884</v>
      </c>
    </row>
    <row r="41" spans="1:28" ht="12.75" x14ac:dyDescent="0.2">
      <c r="A41" s="502"/>
      <c r="B41" s="505" t="s">
        <v>605</v>
      </c>
      <c r="C41" t="s">
        <v>1131</v>
      </c>
      <c r="D41" s="502"/>
      <c r="AA41" s="488" t="s">
        <v>1142</v>
      </c>
      <c r="AB41" s="488" t="s">
        <v>861</v>
      </c>
    </row>
    <row r="42" spans="1:28" ht="12.75" x14ac:dyDescent="0.2">
      <c r="A42" s="502"/>
      <c r="B42" s="505" t="s">
        <v>606</v>
      </c>
      <c r="C42" t="s">
        <v>1131</v>
      </c>
      <c r="D42" s="502"/>
      <c r="AA42" s="488" t="s">
        <v>1143</v>
      </c>
      <c r="AB42" s="488" t="s">
        <v>886</v>
      </c>
    </row>
    <row r="43" spans="1:28" ht="12.75" x14ac:dyDescent="0.2">
      <c r="A43" s="502"/>
      <c r="B43" s="505" t="s">
        <v>607</v>
      </c>
      <c r="C43" t="s">
        <v>1131</v>
      </c>
      <c r="D43" s="502"/>
      <c r="AA43" s="488" t="s">
        <v>1144</v>
      </c>
      <c r="AB43" s="488" t="s">
        <v>500</v>
      </c>
    </row>
    <row r="44" spans="1:28" ht="12.75" x14ac:dyDescent="0.2">
      <c r="A44" s="502"/>
      <c r="B44" s="505" t="s">
        <v>608</v>
      </c>
      <c r="C44" t="s">
        <v>1131</v>
      </c>
      <c r="D44" s="502"/>
      <c r="AA44" s="488" t="s">
        <v>1145</v>
      </c>
      <c r="AB44" s="488" t="s">
        <v>887</v>
      </c>
    </row>
    <row r="45" spans="1:28" ht="12.75" x14ac:dyDescent="0.2">
      <c r="A45" s="502"/>
      <c r="B45" s="505" t="s">
        <v>844</v>
      </c>
      <c r="C45" t="s">
        <v>1131</v>
      </c>
      <c r="D45" s="502"/>
      <c r="AA45" s="488" t="s">
        <v>1146</v>
      </c>
      <c r="AB45" s="488" t="s">
        <v>888</v>
      </c>
    </row>
    <row r="46" spans="1:28" ht="12.75" x14ac:dyDescent="0.2">
      <c r="A46" s="502"/>
      <c r="B46" s="505" t="s">
        <v>566</v>
      </c>
      <c r="C46" t="s">
        <v>1131</v>
      </c>
      <c r="D46" s="502"/>
      <c r="AA46" s="488" t="s">
        <v>1147</v>
      </c>
      <c r="AB46" s="488" t="s">
        <v>889</v>
      </c>
    </row>
    <row r="47" spans="1:28" ht="12.75" x14ac:dyDescent="0.2">
      <c r="A47" s="502"/>
      <c r="B47" s="505" t="s">
        <v>609</v>
      </c>
      <c r="C47" t="s">
        <v>1131</v>
      </c>
      <c r="D47" s="502"/>
      <c r="AA47" s="488" t="s">
        <v>1148</v>
      </c>
      <c r="AB47" s="488" t="s">
        <v>861</v>
      </c>
    </row>
    <row r="48" spans="1:28" ht="12.75" x14ac:dyDescent="0.2">
      <c r="A48" s="502"/>
      <c r="B48" s="505" t="s">
        <v>610</v>
      </c>
      <c r="C48" t="s">
        <v>1131</v>
      </c>
      <c r="D48" s="502"/>
      <c r="AA48" s="488" t="s">
        <v>1149</v>
      </c>
      <c r="AB48" s="488" t="s">
        <v>891</v>
      </c>
    </row>
    <row r="49" spans="1:28" ht="12.75" x14ac:dyDescent="0.2">
      <c r="A49" s="502"/>
      <c r="B49" s="505" t="s">
        <v>841</v>
      </c>
      <c r="C49" t="s">
        <v>1131</v>
      </c>
      <c r="D49" s="502"/>
      <c r="AA49" s="488" t="s">
        <v>1150</v>
      </c>
      <c r="AB49" s="488" t="s">
        <v>892</v>
      </c>
    </row>
    <row r="50" spans="1:28" ht="12.75" x14ac:dyDescent="0.2">
      <c r="A50" s="502"/>
      <c r="B50" s="505" t="s">
        <v>611</v>
      </c>
      <c r="C50" t="s">
        <v>1131</v>
      </c>
      <c r="D50" s="502"/>
      <c r="AA50" s="488" t="s">
        <v>1151</v>
      </c>
      <c r="AB50" s="488" t="s">
        <v>893</v>
      </c>
    </row>
    <row r="51" spans="1:28" ht="12.75" x14ac:dyDescent="0.2">
      <c r="A51" s="502"/>
      <c r="B51" s="505" t="s">
        <v>612</v>
      </c>
      <c r="C51" s="505" t="s">
        <v>1131</v>
      </c>
      <c r="D51" s="502"/>
      <c r="AA51" s="488" t="s">
        <v>10</v>
      </c>
      <c r="AB51" s="488" t="s">
        <v>894</v>
      </c>
    </row>
    <row r="52" spans="1:28" ht="12.75" x14ac:dyDescent="0.2">
      <c r="A52" s="502"/>
      <c r="B52" s="505" t="s">
        <v>845</v>
      </c>
      <c r="C52" s="505" t="s">
        <v>1131</v>
      </c>
      <c r="D52" s="502"/>
      <c r="AA52" s="488" t="s">
        <v>11</v>
      </c>
      <c r="AB52" s="488" t="s">
        <v>895</v>
      </c>
    </row>
    <row r="53" spans="1:28" ht="12.75" x14ac:dyDescent="0.2">
      <c r="A53" s="502"/>
      <c r="B53" s="505" t="s">
        <v>567</v>
      </c>
      <c r="C53" s="505" t="s">
        <v>1131</v>
      </c>
      <c r="D53" s="502"/>
      <c r="AA53" s="488" t="s">
        <v>1152</v>
      </c>
      <c r="AB53" s="488" t="s">
        <v>896</v>
      </c>
    </row>
    <row r="54" spans="1:28" ht="12.75" x14ac:dyDescent="0.2">
      <c r="A54" s="502"/>
      <c r="B54" s="505" t="s">
        <v>613</v>
      </c>
      <c r="C54" s="505" t="s">
        <v>1131</v>
      </c>
      <c r="D54" s="502"/>
      <c r="AA54" s="488" t="s">
        <v>1153</v>
      </c>
      <c r="AB54" s="488" t="s">
        <v>861</v>
      </c>
    </row>
    <row r="55" spans="1:28" ht="12.75" x14ac:dyDescent="0.2">
      <c r="A55" s="502"/>
      <c r="B55" s="505" t="s">
        <v>614</v>
      </c>
      <c r="C55" s="505" t="s">
        <v>1131</v>
      </c>
      <c r="D55" s="502"/>
      <c r="AA55" s="488" t="s">
        <v>1154</v>
      </c>
      <c r="AB55" s="488" t="s">
        <v>898</v>
      </c>
    </row>
    <row r="56" spans="1:28" ht="12.75" x14ac:dyDescent="0.2">
      <c r="A56" s="502"/>
      <c r="B56" s="505" t="s">
        <v>846</v>
      </c>
      <c r="C56" s="505" t="s">
        <v>1131</v>
      </c>
      <c r="D56" s="502"/>
      <c r="AA56" s="488" t="s">
        <v>1155</v>
      </c>
      <c r="AB56" s="488" t="s">
        <v>899</v>
      </c>
    </row>
    <row r="57" spans="1:28" ht="12.75" x14ac:dyDescent="0.2">
      <c r="A57" s="502"/>
      <c r="B57" s="505" t="s">
        <v>791</v>
      </c>
      <c r="C57" s="505" t="s">
        <v>1131</v>
      </c>
      <c r="D57" s="502"/>
      <c r="AA57" s="488" t="s">
        <v>1156</v>
      </c>
      <c r="AB57" s="488" t="s">
        <v>900</v>
      </c>
    </row>
    <row r="58" spans="1:28" ht="12.75" x14ac:dyDescent="0.2">
      <c r="A58" s="502"/>
      <c r="B58" s="505" t="s">
        <v>615</v>
      </c>
      <c r="C58" t="s">
        <v>1131</v>
      </c>
      <c r="D58" s="502"/>
      <c r="AA58" s="488" t="s">
        <v>231</v>
      </c>
      <c r="AB58" s="488" t="s">
        <v>863</v>
      </c>
    </row>
    <row r="59" spans="1:28" ht="12.75" x14ac:dyDescent="0.2">
      <c r="A59" s="502"/>
      <c r="B59" s="505" t="s">
        <v>616</v>
      </c>
      <c r="C59" t="s">
        <v>1131</v>
      </c>
      <c r="D59" s="502"/>
      <c r="AB59" s="488" t="s">
        <v>864</v>
      </c>
    </row>
    <row r="60" spans="1:28" ht="12.75" x14ac:dyDescent="0.2">
      <c r="A60" s="502"/>
      <c r="B60" s="505" t="s">
        <v>617</v>
      </c>
      <c r="C60" s="505" t="s">
        <v>1131</v>
      </c>
      <c r="D60" s="502"/>
      <c r="Z60" s="485" t="s">
        <v>1157</v>
      </c>
      <c r="AA60" s="485"/>
      <c r="AB60" s="488" t="s">
        <v>865</v>
      </c>
    </row>
    <row r="61" spans="1:28" ht="12.75" x14ac:dyDescent="0.2">
      <c r="A61" s="502"/>
      <c r="B61" s="505" t="s">
        <v>618</v>
      </c>
      <c r="C61" s="505" t="s">
        <v>1131</v>
      </c>
      <c r="D61" s="502"/>
      <c r="Z61" s="503" t="s">
        <v>1158</v>
      </c>
      <c r="AA61" s="503" t="s">
        <v>1159</v>
      </c>
      <c r="AB61" s="488" t="s">
        <v>871</v>
      </c>
    </row>
    <row r="62" spans="1:28" ht="12.75" x14ac:dyDescent="0.2">
      <c r="A62" s="502"/>
      <c r="B62" s="505" t="s">
        <v>619</v>
      </c>
      <c r="C62" s="505" t="s">
        <v>1131</v>
      </c>
      <c r="D62" s="502"/>
      <c r="Z62" s="504" t="s">
        <v>543</v>
      </c>
      <c r="AA62" s="504" t="s">
        <v>1160</v>
      </c>
      <c r="AB62" s="488" t="s">
        <v>874</v>
      </c>
    </row>
    <row r="63" spans="1:28" ht="12.75" x14ac:dyDescent="0.2">
      <c r="A63" s="502"/>
      <c r="B63" s="505" t="s">
        <v>568</v>
      </c>
      <c r="C63" s="505" t="s">
        <v>1131</v>
      </c>
      <c r="D63" s="502"/>
      <c r="Z63" s="504" t="s">
        <v>544</v>
      </c>
      <c r="AA63" s="504" t="s">
        <v>1068</v>
      </c>
      <c r="AB63" s="488" t="s">
        <v>861</v>
      </c>
    </row>
    <row r="64" spans="1:28" ht="12.75" x14ac:dyDescent="0.2">
      <c r="A64" s="502"/>
      <c r="B64" s="505" t="s">
        <v>620</v>
      </c>
      <c r="C64" t="s">
        <v>1131</v>
      </c>
      <c r="D64" s="502"/>
      <c r="AB64" s="488" t="s">
        <v>902</v>
      </c>
    </row>
    <row r="65" spans="1:28" ht="12.75" x14ac:dyDescent="0.2">
      <c r="A65" s="502"/>
      <c r="B65" s="505" t="s">
        <v>621</v>
      </c>
      <c r="C65" s="505" t="s">
        <v>1131</v>
      </c>
      <c r="D65" s="502"/>
      <c r="AB65" s="488" t="s">
        <v>903</v>
      </c>
    </row>
    <row r="66" spans="1:28" ht="12.75" x14ac:dyDescent="0.2">
      <c r="A66" s="502"/>
      <c r="B66" s="505" t="s">
        <v>805</v>
      </c>
      <c r="C66" s="505" t="s">
        <v>1131</v>
      </c>
      <c r="D66" s="502"/>
      <c r="Z66" s="485" t="s">
        <v>1161</v>
      </c>
      <c r="AB66" s="488" t="s">
        <v>904</v>
      </c>
    </row>
    <row r="67" spans="1:28" ht="12.75" x14ac:dyDescent="0.2">
      <c r="A67" s="502"/>
      <c r="B67" s="505" t="s">
        <v>806</v>
      </c>
      <c r="C67" s="505" t="s">
        <v>1131</v>
      </c>
      <c r="D67" s="502"/>
      <c r="Z67" s="488" t="s">
        <v>543</v>
      </c>
      <c r="AB67" s="488" t="s">
        <v>905</v>
      </c>
    </row>
    <row r="68" spans="1:28" ht="12.75" x14ac:dyDescent="0.2">
      <c r="A68" s="502"/>
      <c r="B68" s="505" t="s">
        <v>594</v>
      </c>
      <c r="C68" s="505" t="s">
        <v>1131</v>
      </c>
      <c r="D68" s="502"/>
      <c r="Z68" s="488" t="s">
        <v>544</v>
      </c>
      <c r="AB68" s="488" t="s">
        <v>861</v>
      </c>
    </row>
    <row r="69" spans="1:28" ht="12.75" x14ac:dyDescent="0.2">
      <c r="A69" s="502"/>
      <c r="B69" s="505" t="s">
        <v>807</v>
      </c>
      <c r="C69" s="505" t="s">
        <v>1162</v>
      </c>
      <c r="D69" s="502"/>
      <c r="AB69" s="488" t="s">
        <v>907</v>
      </c>
    </row>
    <row r="70" spans="1:28" ht="12.75" x14ac:dyDescent="0.2">
      <c r="A70" s="502"/>
      <c r="B70" s="505" t="s">
        <v>622</v>
      </c>
      <c r="C70" s="505" t="s">
        <v>1162</v>
      </c>
      <c r="D70" s="502"/>
      <c r="AB70" s="488" t="s">
        <v>908</v>
      </c>
    </row>
    <row r="71" spans="1:28" ht="12.75" x14ac:dyDescent="0.2">
      <c r="A71" s="502"/>
      <c r="B71" s="505" t="s">
        <v>623</v>
      </c>
      <c r="C71" s="505" t="s">
        <v>1162</v>
      </c>
      <c r="D71" s="502"/>
      <c r="AB71" s="488" t="s">
        <v>909</v>
      </c>
    </row>
    <row r="72" spans="1:28" ht="12.75" x14ac:dyDescent="0.2">
      <c r="A72" s="502"/>
      <c r="B72" s="505" t="s">
        <v>624</v>
      </c>
      <c r="C72" s="505" t="s">
        <v>1162</v>
      </c>
      <c r="D72" s="502"/>
      <c r="AB72" s="488" t="s">
        <v>861</v>
      </c>
    </row>
    <row r="73" spans="1:28" ht="12.75" x14ac:dyDescent="0.2">
      <c r="A73" s="502"/>
      <c r="B73" s="505" t="s">
        <v>569</v>
      </c>
      <c r="C73" s="505" t="s">
        <v>1162</v>
      </c>
      <c r="D73" s="502"/>
      <c r="AB73" s="488" t="s">
        <v>912</v>
      </c>
    </row>
    <row r="74" spans="1:28" ht="12.75" x14ac:dyDescent="0.2">
      <c r="A74" s="502"/>
      <c r="B74" s="505" t="s">
        <v>625</v>
      </c>
      <c r="C74" s="505" t="s">
        <v>1162</v>
      </c>
      <c r="D74" s="502"/>
      <c r="AB74" s="488" t="s">
        <v>913</v>
      </c>
    </row>
    <row r="75" spans="1:28" ht="12.75" x14ac:dyDescent="0.2">
      <c r="A75" s="502"/>
      <c r="B75" s="505" t="s">
        <v>626</v>
      </c>
      <c r="C75" s="505" t="s">
        <v>1162</v>
      </c>
      <c r="D75" s="502"/>
      <c r="AB75" s="488" t="s">
        <v>914</v>
      </c>
    </row>
    <row r="76" spans="1:28" ht="12.75" x14ac:dyDescent="0.2">
      <c r="A76" s="502"/>
      <c r="B76" s="505" t="s">
        <v>627</v>
      </c>
      <c r="C76" s="505" t="s">
        <v>1162</v>
      </c>
      <c r="D76" s="502"/>
      <c r="AB76" s="488" t="s">
        <v>915</v>
      </c>
    </row>
    <row r="77" spans="1:28" ht="12.75" x14ac:dyDescent="0.2">
      <c r="A77" s="502"/>
      <c r="B77" s="505" t="s">
        <v>628</v>
      </c>
      <c r="C77" s="505" t="s">
        <v>1162</v>
      </c>
      <c r="D77" s="502"/>
      <c r="AB77" s="488" t="s">
        <v>916</v>
      </c>
    </row>
    <row r="78" spans="1:28" ht="12.75" x14ac:dyDescent="0.2">
      <c r="A78" s="502"/>
      <c r="B78" s="505" t="s">
        <v>629</v>
      </c>
      <c r="C78" s="505" t="s">
        <v>1162</v>
      </c>
      <c r="D78" s="502"/>
      <c r="AB78" s="488" t="s">
        <v>917</v>
      </c>
    </row>
    <row r="79" spans="1:28" ht="12.75" x14ac:dyDescent="0.2">
      <c r="A79" s="502"/>
      <c r="B79" s="505" t="s">
        <v>570</v>
      </c>
      <c r="C79" s="505" t="s">
        <v>1162</v>
      </c>
      <c r="D79" s="502"/>
      <c r="AB79" s="488" t="s">
        <v>918</v>
      </c>
    </row>
    <row r="80" spans="1:28" ht="12.75" x14ac:dyDescent="0.2">
      <c r="A80" s="502"/>
      <c r="B80" s="505" t="s">
        <v>630</v>
      </c>
      <c r="C80" s="505" t="s">
        <v>1162</v>
      </c>
      <c r="D80" s="502"/>
      <c r="AB80" s="488" t="s">
        <v>919</v>
      </c>
    </row>
    <row r="81" spans="1:28" ht="12.75" x14ac:dyDescent="0.2">
      <c r="A81" s="502"/>
      <c r="B81" s="505" t="s">
        <v>631</v>
      </c>
      <c r="C81" s="505" t="s">
        <v>1162</v>
      </c>
      <c r="D81" s="502"/>
      <c r="AB81" s="488" t="s">
        <v>920</v>
      </c>
    </row>
    <row r="82" spans="1:28" ht="12.75" x14ac:dyDescent="0.2">
      <c r="A82" s="502"/>
      <c r="B82" s="505" t="s">
        <v>632</v>
      </c>
      <c r="C82" s="505" t="s">
        <v>1162</v>
      </c>
      <c r="D82" s="502"/>
      <c r="AB82" s="488" t="s">
        <v>90</v>
      </c>
    </row>
    <row r="83" spans="1:28" ht="12.75" x14ac:dyDescent="0.2">
      <c r="A83" s="502"/>
      <c r="B83" s="505" t="s">
        <v>633</v>
      </c>
      <c r="C83" s="505" t="s">
        <v>1162</v>
      </c>
      <c r="D83" s="502"/>
      <c r="AB83" s="488" t="s">
        <v>921</v>
      </c>
    </row>
    <row r="84" spans="1:28" ht="12.75" x14ac:dyDescent="0.2">
      <c r="A84" s="502"/>
      <c r="B84" s="505" t="s">
        <v>634</v>
      </c>
      <c r="C84" s="505" t="s">
        <v>1162</v>
      </c>
      <c r="D84" s="502"/>
      <c r="AB84" s="488" t="s">
        <v>922</v>
      </c>
    </row>
    <row r="85" spans="1:28" ht="12.75" x14ac:dyDescent="0.2">
      <c r="A85" s="502"/>
      <c r="B85" s="505" t="s">
        <v>808</v>
      </c>
      <c r="C85" s="505" t="s">
        <v>1162</v>
      </c>
      <c r="D85" s="502"/>
      <c r="AB85" s="488" t="s">
        <v>1163</v>
      </c>
    </row>
    <row r="86" spans="1:28" ht="12.75" x14ac:dyDescent="0.2">
      <c r="A86" s="502"/>
      <c r="B86" s="505" t="s">
        <v>571</v>
      </c>
      <c r="C86" s="505" t="s">
        <v>1162</v>
      </c>
      <c r="D86" s="502"/>
      <c r="AB86" s="488" t="s">
        <v>923</v>
      </c>
    </row>
    <row r="87" spans="1:28" ht="12.75" x14ac:dyDescent="0.2">
      <c r="A87" s="502"/>
      <c r="B87" s="505" t="s">
        <v>635</v>
      </c>
      <c r="C87" s="505" t="s">
        <v>1162</v>
      </c>
      <c r="D87" s="502"/>
      <c r="AB87" s="488" t="s">
        <v>924</v>
      </c>
    </row>
    <row r="88" spans="1:28" ht="12.75" x14ac:dyDescent="0.2">
      <c r="A88" s="502"/>
      <c r="B88" s="505" t="s">
        <v>636</v>
      </c>
      <c r="C88" s="505" t="s">
        <v>1162</v>
      </c>
      <c r="D88" s="502"/>
      <c r="AB88" s="488" t="s">
        <v>925</v>
      </c>
    </row>
    <row r="89" spans="1:28" ht="12.75" x14ac:dyDescent="0.2">
      <c r="A89" s="502"/>
      <c r="B89" s="505" t="s">
        <v>637</v>
      </c>
      <c r="C89" s="505" t="s">
        <v>1162</v>
      </c>
      <c r="D89" s="502"/>
      <c r="AB89" s="488" t="s">
        <v>11</v>
      </c>
    </row>
    <row r="90" spans="1:28" ht="12.75" x14ac:dyDescent="0.2">
      <c r="A90" s="502"/>
      <c r="B90" s="505" t="s">
        <v>638</v>
      </c>
      <c r="C90" s="505" t="s">
        <v>1162</v>
      </c>
      <c r="D90" s="502"/>
      <c r="AB90" s="488" t="s">
        <v>926</v>
      </c>
    </row>
    <row r="91" spans="1:28" ht="12.75" x14ac:dyDescent="0.2">
      <c r="A91" s="502"/>
      <c r="B91" s="505" t="s">
        <v>572</v>
      </c>
      <c r="C91" s="505" t="s">
        <v>1162</v>
      </c>
      <c r="D91" s="502"/>
      <c r="AB91" s="488" t="s">
        <v>10</v>
      </c>
    </row>
    <row r="92" spans="1:28" ht="12.75" x14ac:dyDescent="0.2">
      <c r="A92" s="502"/>
      <c r="B92" s="505" t="s">
        <v>985</v>
      </c>
      <c r="C92" s="505" t="s">
        <v>1164</v>
      </c>
      <c r="D92" s="502"/>
      <c r="AB92" s="488" t="s">
        <v>927</v>
      </c>
    </row>
    <row r="93" spans="1:28" ht="12.75" x14ac:dyDescent="0.2">
      <c r="A93" s="502"/>
      <c r="B93" s="505" t="s">
        <v>809</v>
      </c>
      <c r="C93" s="505" t="s">
        <v>1164</v>
      </c>
      <c r="D93" s="502"/>
      <c r="AB93" s="488" t="s">
        <v>928</v>
      </c>
    </row>
    <row r="94" spans="1:28" ht="12.75" x14ac:dyDescent="0.2">
      <c r="A94" s="502"/>
      <c r="B94" s="505" t="s">
        <v>810</v>
      </c>
      <c r="C94" s="505" t="s">
        <v>1164</v>
      </c>
      <c r="D94" s="502"/>
      <c r="AB94" s="488" t="s">
        <v>861</v>
      </c>
    </row>
    <row r="95" spans="1:28" ht="12.75" x14ac:dyDescent="0.2">
      <c r="A95" s="502"/>
      <c r="B95" s="505" t="s">
        <v>639</v>
      </c>
      <c r="C95" s="505" t="s">
        <v>1164</v>
      </c>
      <c r="D95" s="502"/>
      <c r="AB95" s="488" t="s">
        <v>930</v>
      </c>
    </row>
    <row r="96" spans="1:28" ht="12.75" x14ac:dyDescent="0.2">
      <c r="A96" s="502"/>
      <c r="B96" s="505" t="s">
        <v>640</v>
      </c>
      <c r="C96" s="505" t="s">
        <v>1164</v>
      </c>
      <c r="D96" s="502"/>
      <c r="AB96" s="488" t="s">
        <v>931</v>
      </c>
    </row>
    <row r="97" spans="1:28" ht="12.75" x14ac:dyDescent="0.2">
      <c r="A97" s="502"/>
      <c r="B97" s="505" t="s">
        <v>641</v>
      </c>
      <c r="C97" s="505" t="s">
        <v>1164</v>
      </c>
      <c r="D97" s="502"/>
      <c r="AB97" s="488" t="s">
        <v>861</v>
      </c>
    </row>
    <row r="98" spans="1:28" ht="12.75" x14ac:dyDescent="0.2">
      <c r="A98" s="502"/>
      <c r="B98" s="505" t="s">
        <v>593</v>
      </c>
      <c r="C98" s="505" t="s">
        <v>1164</v>
      </c>
      <c r="D98" s="502"/>
      <c r="AB98" s="488" t="s">
        <v>932</v>
      </c>
    </row>
    <row r="99" spans="1:28" ht="12.75" x14ac:dyDescent="0.2">
      <c r="A99" s="502"/>
      <c r="B99" s="505" t="s">
        <v>642</v>
      </c>
      <c r="C99" s="505" t="s">
        <v>1164</v>
      </c>
      <c r="D99" s="502"/>
      <c r="AB99" s="488" t="s">
        <v>933</v>
      </c>
    </row>
    <row r="100" spans="1:28" ht="12.75" x14ac:dyDescent="0.2">
      <c r="A100" s="502"/>
      <c r="B100" s="505" t="s">
        <v>794</v>
      </c>
      <c r="C100" s="505" t="s">
        <v>1164</v>
      </c>
      <c r="D100" s="502"/>
      <c r="AB100" s="488" t="s">
        <v>934</v>
      </c>
    </row>
    <row r="101" spans="1:28" ht="12.75" x14ac:dyDescent="0.2">
      <c r="A101" s="502"/>
      <c r="B101" s="505" t="s">
        <v>986</v>
      </c>
      <c r="C101" s="505" t="s">
        <v>1164</v>
      </c>
      <c r="D101" s="502"/>
      <c r="AB101" s="488" t="s">
        <v>935</v>
      </c>
    </row>
    <row r="102" spans="1:28" ht="12.75" x14ac:dyDescent="0.2">
      <c r="A102" s="502"/>
      <c r="B102" s="505" t="s">
        <v>595</v>
      </c>
      <c r="C102" s="505" t="s">
        <v>1164</v>
      </c>
      <c r="D102" s="502"/>
      <c r="AB102" s="488" t="s">
        <v>936</v>
      </c>
    </row>
    <row r="103" spans="1:28" ht="12.75" x14ac:dyDescent="0.2">
      <c r="A103" s="502"/>
      <c r="B103" s="505" t="s">
        <v>811</v>
      </c>
      <c r="C103" s="505" t="s">
        <v>1165</v>
      </c>
      <c r="D103" s="502"/>
      <c r="AB103" s="488" t="s">
        <v>938</v>
      </c>
    </row>
    <row r="104" spans="1:28" ht="12.75" x14ac:dyDescent="0.2">
      <c r="A104" s="502"/>
      <c r="B104" s="505" t="s">
        <v>643</v>
      </c>
      <c r="C104" s="505" t="s">
        <v>1165</v>
      </c>
      <c r="D104" s="502"/>
      <c r="AB104" s="488" t="s">
        <v>939</v>
      </c>
    </row>
    <row r="105" spans="1:28" ht="12.75" x14ac:dyDescent="0.2">
      <c r="A105" s="502"/>
      <c r="B105" s="505" t="s">
        <v>644</v>
      </c>
      <c r="C105" s="505" t="s">
        <v>1165</v>
      </c>
      <c r="D105" s="502"/>
      <c r="AB105" s="488" t="s">
        <v>942</v>
      </c>
    </row>
    <row r="106" spans="1:28" ht="12.75" x14ac:dyDescent="0.2">
      <c r="A106" s="502"/>
      <c r="B106" s="505" t="s">
        <v>645</v>
      </c>
      <c r="C106" s="505" t="s">
        <v>1165</v>
      </c>
      <c r="D106" s="502"/>
      <c r="AB106" s="488" t="s">
        <v>943</v>
      </c>
    </row>
    <row r="107" spans="1:28" ht="12.75" x14ac:dyDescent="0.2">
      <c r="A107" s="502"/>
      <c r="B107" s="505" t="s">
        <v>852</v>
      </c>
      <c r="C107" s="505" t="s">
        <v>1165</v>
      </c>
      <c r="D107" s="502"/>
      <c r="AB107" s="488" t="s">
        <v>944</v>
      </c>
    </row>
    <row r="108" spans="1:28" ht="12.75" x14ac:dyDescent="0.2">
      <c r="A108" s="502"/>
      <c r="B108" s="505" t="s">
        <v>573</v>
      </c>
      <c r="C108" s="505" t="s">
        <v>1165</v>
      </c>
      <c r="D108" s="502"/>
      <c r="AB108" s="488" t="s">
        <v>945</v>
      </c>
    </row>
    <row r="109" spans="1:28" ht="12.75" x14ac:dyDescent="0.2">
      <c r="A109" s="502"/>
      <c r="B109" s="505" t="s">
        <v>646</v>
      </c>
      <c r="C109" s="505" t="s">
        <v>1165</v>
      </c>
      <c r="D109" s="502"/>
      <c r="AB109" s="488" t="s">
        <v>946</v>
      </c>
    </row>
    <row r="110" spans="1:28" ht="12.75" x14ac:dyDescent="0.2">
      <c r="A110" s="502"/>
      <c r="B110" s="505" t="s">
        <v>647</v>
      </c>
      <c r="C110" s="505" t="s">
        <v>1165</v>
      </c>
      <c r="D110" s="502"/>
      <c r="AB110" s="488" t="s">
        <v>947</v>
      </c>
    </row>
    <row r="111" spans="1:28" ht="12.75" x14ac:dyDescent="0.2">
      <c r="A111" s="502"/>
      <c r="B111" s="505" t="s">
        <v>648</v>
      </c>
      <c r="C111" s="505" t="s">
        <v>1165</v>
      </c>
      <c r="D111" s="502"/>
      <c r="AB111" s="488" t="s">
        <v>948</v>
      </c>
    </row>
    <row r="112" spans="1:28" ht="12.75" x14ac:dyDescent="0.2">
      <c r="A112" s="502"/>
      <c r="B112" s="505" t="s">
        <v>649</v>
      </c>
      <c r="C112" s="505" t="s">
        <v>1165</v>
      </c>
      <c r="D112" s="502"/>
      <c r="AB112" s="488" t="s">
        <v>949</v>
      </c>
    </row>
    <row r="113" spans="1:28" ht="12.75" x14ac:dyDescent="0.2">
      <c r="A113" s="502"/>
      <c r="B113" s="505" t="s">
        <v>650</v>
      </c>
      <c r="C113" s="505" t="s">
        <v>1165</v>
      </c>
      <c r="D113" s="502"/>
      <c r="AB113" s="488" t="s">
        <v>950</v>
      </c>
    </row>
    <row r="114" spans="1:28" ht="12.75" x14ac:dyDescent="0.2">
      <c r="A114" s="502"/>
      <c r="B114" s="505" t="s">
        <v>651</v>
      </c>
      <c r="C114" s="505" t="s">
        <v>1165</v>
      </c>
      <c r="D114" s="502"/>
      <c r="AB114" s="488" t="s">
        <v>951</v>
      </c>
    </row>
    <row r="115" spans="1:28" ht="12.75" x14ac:dyDescent="0.2">
      <c r="A115" s="502"/>
      <c r="B115" s="505" t="s">
        <v>652</v>
      </c>
      <c r="C115" s="505" t="s">
        <v>1165</v>
      </c>
      <c r="D115" s="502"/>
      <c r="AB115" s="488" t="s">
        <v>861</v>
      </c>
    </row>
    <row r="116" spans="1:28" ht="12.75" x14ac:dyDescent="0.2">
      <c r="A116" s="502"/>
      <c r="B116" s="505" t="s">
        <v>574</v>
      </c>
      <c r="C116" s="505" t="s">
        <v>1165</v>
      </c>
      <c r="D116" s="502"/>
      <c r="AB116" s="488" t="s">
        <v>953</v>
      </c>
    </row>
    <row r="117" spans="1:28" ht="12.75" x14ac:dyDescent="0.2">
      <c r="A117" s="502"/>
      <c r="B117" s="505" t="s">
        <v>653</v>
      </c>
      <c r="C117" s="505" t="s">
        <v>1165</v>
      </c>
      <c r="D117" s="502"/>
      <c r="AB117" s="488" t="s">
        <v>954</v>
      </c>
    </row>
    <row r="118" spans="1:28" ht="12.75" x14ac:dyDescent="0.2">
      <c r="A118" s="502"/>
      <c r="B118" s="505" t="s">
        <v>847</v>
      </c>
      <c r="C118" s="505" t="s">
        <v>1165</v>
      </c>
      <c r="D118" s="502"/>
      <c r="AB118" s="488" t="s">
        <v>861</v>
      </c>
    </row>
    <row r="119" spans="1:28" ht="12.75" x14ac:dyDescent="0.2">
      <c r="A119" s="502"/>
      <c r="B119" s="505" t="s">
        <v>848</v>
      </c>
      <c r="C119" s="505" t="s">
        <v>1165</v>
      </c>
      <c r="D119" s="502"/>
      <c r="AB119" s="488" t="s">
        <v>959</v>
      </c>
    </row>
    <row r="120" spans="1:28" ht="12.75" x14ac:dyDescent="0.2">
      <c r="A120" s="502"/>
      <c r="B120" s="505" t="s">
        <v>575</v>
      </c>
      <c r="C120" s="505" t="s">
        <v>1165</v>
      </c>
      <c r="D120" s="502"/>
      <c r="AB120" s="488" t="s">
        <v>960</v>
      </c>
    </row>
    <row r="121" spans="1:28" ht="12.75" x14ac:dyDescent="0.2">
      <c r="A121" s="502"/>
      <c r="B121" s="505" t="s">
        <v>654</v>
      </c>
      <c r="C121" s="505" t="s">
        <v>1165</v>
      </c>
      <c r="D121" s="502"/>
      <c r="AB121" s="488" t="s">
        <v>961</v>
      </c>
    </row>
    <row r="122" spans="1:28" ht="12.75" x14ac:dyDescent="0.2">
      <c r="A122" s="502"/>
      <c r="B122" s="505" t="s">
        <v>655</v>
      </c>
      <c r="C122" s="505" t="s">
        <v>1165</v>
      </c>
      <c r="D122" s="502"/>
      <c r="AB122" s="488" t="s">
        <v>962</v>
      </c>
    </row>
    <row r="123" spans="1:28" ht="12.75" x14ac:dyDescent="0.2">
      <c r="A123" s="502"/>
      <c r="B123" s="505" t="s">
        <v>656</v>
      </c>
      <c r="C123" s="505" t="s">
        <v>1165</v>
      </c>
      <c r="D123" s="502"/>
      <c r="AB123" s="488" t="s">
        <v>963</v>
      </c>
    </row>
    <row r="124" spans="1:28" ht="12.75" x14ac:dyDescent="0.2">
      <c r="A124" s="502"/>
      <c r="B124" s="505" t="s">
        <v>657</v>
      </c>
      <c r="C124" s="505" t="s">
        <v>1165</v>
      </c>
      <c r="D124" s="502"/>
      <c r="AB124" s="488" t="s">
        <v>964</v>
      </c>
    </row>
    <row r="125" spans="1:28" ht="12.75" x14ac:dyDescent="0.2">
      <c r="A125" s="502"/>
      <c r="B125" s="505" t="s">
        <v>576</v>
      </c>
      <c r="C125" s="505" t="s">
        <v>1165</v>
      </c>
      <c r="D125" s="502"/>
    </row>
    <row r="126" spans="1:28" ht="12.75" x14ac:dyDescent="0.2">
      <c r="A126" s="502"/>
      <c r="B126" s="505" t="s">
        <v>658</v>
      </c>
      <c r="C126" s="505" t="s">
        <v>1165</v>
      </c>
      <c r="D126" s="502"/>
    </row>
    <row r="127" spans="1:28" ht="12.75" x14ac:dyDescent="0.2">
      <c r="A127" s="502"/>
      <c r="B127" s="505" t="s">
        <v>987</v>
      </c>
      <c r="C127" s="505" t="s">
        <v>1165</v>
      </c>
      <c r="D127" s="502"/>
    </row>
    <row r="128" spans="1:28" ht="12.75" x14ac:dyDescent="0.2">
      <c r="A128" s="502"/>
      <c r="B128" s="505" t="s">
        <v>659</v>
      </c>
      <c r="C128" s="505" t="s">
        <v>1165</v>
      </c>
      <c r="D128" s="502"/>
    </row>
    <row r="129" spans="1:4" ht="12.75" x14ac:dyDescent="0.2">
      <c r="A129" s="502"/>
      <c r="B129" s="505" t="s">
        <v>577</v>
      </c>
      <c r="C129" s="505" t="s">
        <v>1165</v>
      </c>
      <c r="D129" s="502"/>
    </row>
    <row r="130" spans="1:4" ht="12.75" x14ac:dyDescent="0.2">
      <c r="A130" s="502"/>
      <c r="B130" s="505" t="s">
        <v>660</v>
      </c>
      <c r="C130" s="505" t="s">
        <v>1165</v>
      </c>
      <c r="D130" s="502"/>
    </row>
    <row r="131" spans="1:4" ht="12.75" x14ac:dyDescent="0.2">
      <c r="A131" s="502"/>
      <c r="B131" s="505" t="s">
        <v>661</v>
      </c>
      <c r="C131" s="505" t="s">
        <v>1165</v>
      </c>
      <c r="D131" s="502"/>
    </row>
    <row r="132" spans="1:4" ht="12.75" x14ac:dyDescent="0.2">
      <c r="A132" s="502"/>
      <c r="B132" s="505" t="s">
        <v>662</v>
      </c>
      <c r="C132" s="505" t="s">
        <v>1165</v>
      </c>
      <c r="D132" s="502"/>
    </row>
    <row r="133" spans="1:4" ht="12.75" x14ac:dyDescent="0.2">
      <c r="A133" s="502"/>
      <c r="B133" s="505" t="s">
        <v>663</v>
      </c>
      <c r="C133" s="505" t="s">
        <v>1165</v>
      </c>
      <c r="D133" s="502"/>
    </row>
    <row r="134" spans="1:4" ht="12.75" x14ac:dyDescent="0.2">
      <c r="A134" s="502"/>
      <c r="B134" s="505" t="s">
        <v>664</v>
      </c>
      <c r="C134" s="505" t="s">
        <v>1165</v>
      </c>
      <c r="D134" s="502"/>
    </row>
    <row r="135" spans="1:4" ht="12.75" x14ac:dyDescent="0.2">
      <c r="A135" s="502"/>
      <c r="B135" s="505" t="s">
        <v>578</v>
      </c>
      <c r="C135" t="s">
        <v>1165</v>
      </c>
      <c r="D135" s="502"/>
    </row>
    <row r="136" spans="1:4" ht="12.75" x14ac:dyDescent="0.2">
      <c r="A136" s="502"/>
      <c r="B136" s="505" t="s">
        <v>665</v>
      </c>
      <c r="C136" t="s">
        <v>1165</v>
      </c>
      <c r="D136" s="502"/>
    </row>
    <row r="137" spans="1:4" ht="12.75" x14ac:dyDescent="0.2">
      <c r="A137" s="502"/>
      <c r="B137" s="505" t="s">
        <v>666</v>
      </c>
      <c r="C137" t="s">
        <v>1165</v>
      </c>
      <c r="D137" s="502"/>
    </row>
    <row r="138" spans="1:4" ht="12.75" x14ac:dyDescent="0.2">
      <c r="A138" s="502"/>
      <c r="B138" s="505" t="s">
        <v>667</v>
      </c>
      <c r="C138" t="s">
        <v>1165</v>
      </c>
      <c r="D138" s="502"/>
    </row>
    <row r="139" spans="1:4" ht="12.75" x14ac:dyDescent="0.2">
      <c r="A139" s="502"/>
      <c r="B139" s="505" t="s">
        <v>988</v>
      </c>
      <c r="C139" t="s">
        <v>1165</v>
      </c>
      <c r="D139" s="502"/>
    </row>
    <row r="140" spans="1:4" ht="12.75" x14ac:dyDescent="0.2">
      <c r="A140" s="502"/>
      <c r="B140" s="505" t="s">
        <v>579</v>
      </c>
      <c r="C140" t="s">
        <v>1165</v>
      </c>
      <c r="D140" s="502"/>
    </row>
    <row r="141" spans="1:4" ht="12.75" x14ac:dyDescent="0.2">
      <c r="A141" s="502"/>
      <c r="B141" s="505" t="s">
        <v>795</v>
      </c>
      <c r="C141" t="s">
        <v>1165</v>
      </c>
      <c r="D141" s="502"/>
    </row>
    <row r="142" spans="1:4" ht="12.75" x14ac:dyDescent="0.2">
      <c r="A142" s="502"/>
      <c r="B142" s="505" t="s">
        <v>668</v>
      </c>
      <c r="C142" t="s">
        <v>1165</v>
      </c>
      <c r="D142" s="502"/>
    </row>
    <row r="143" spans="1:4" ht="12.75" x14ac:dyDescent="0.2">
      <c r="A143" s="502"/>
      <c r="B143" s="505" t="s">
        <v>796</v>
      </c>
      <c r="C143" t="s">
        <v>1165</v>
      </c>
      <c r="D143" s="502"/>
    </row>
    <row r="144" spans="1:4" ht="12.75" x14ac:dyDescent="0.2">
      <c r="A144" s="502"/>
      <c r="B144" s="505" t="s">
        <v>669</v>
      </c>
      <c r="C144" t="s">
        <v>1165</v>
      </c>
      <c r="D144" s="502"/>
    </row>
    <row r="145" spans="1:4" ht="12.75" x14ac:dyDescent="0.2">
      <c r="A145" s="502"/>
      <c r="B145" s="505" t="s">
        <v>670</v>
      </c>
      <c r="C145" t="s">
        <v>1165</v>
      </c>
      <c r="D145" s="502"/>
    </row>
    <row r="146" spans="1:4" ht="12.75" x14ac:dyDescent="0.2">
      <c r="A146" s="502"/>
      <c r="B146" s="505" t="s">
        <v>849</v>
      </c>
      <c r="C146" t="s">
        <v>1165</v>
      </c>
      <c r="D146" s="502"/>
    </row>
    <row r="147" spans="1:4" ht="12.75" x14ac:dyDescent="0.2">
      <c r="A147" s="502"/>
      <c r="B147" s="505" t="s">
        <v>671</v>
      </c>
      <c r="C147" t="s">
        <v>1165</v>
      </c>
      <c r="D147" s="502"/>
    </row>
    <row r="148" spans="1:4" ht="12.75" x14ac:dyDescent="0.2">
      <c r="A148" s="502"/>
      <c r="B148" s="505" t="s">
        <v>672</v>
      </c>
      <c r="C148" t="s">
        <v>1165</v>
      </c>
      <c r="D148" s="502"/>
    </row>
    <row r="149" spans="1:4" ht="12.75" x14ac:dyDescent="0.2">
      <c r="A149" s="502"/>
      <c r="B149" s="505" t="s">
        <v>673</v>
      </c>
      <c r="C149" t="s">
        <v>1165</v>
      </c>
      <c r="D149" s="502"/>
    </row>
    <row r="150" spans="1:4" ht="12.75" x14ac:dyDescent="0.2">
      <c r="A150" s="502"/>
      <c r="B150" s="505" t="s">
        <v>674</v>
      </c>
      <c r="C150" t="s">
        <v>1165</v>
      </c>
      <c r="D150" s="502"/>
    </row>
    <row r="151" spans="1:4" ht="12.75" x14ac:dyDescent="0.2">
      <c r="A151" s="502"/>
      <c r="B151" s="505" t="s">
        <v>580</v>
      </c>
      <c r="C151" t="s">
        <v>1165</v>
      </c>
      <c r="D151" s="502"/>
    </row>
    <row r="152" spans="1:4" ht="12.75" x14ac:dyDescent="0.2">
      <c r="A152" s="502"/>
      <c r="B152" s="505" t="s">
        <v>675</v>
      </c>
      <c r="C152" t="s">
        <v>1165</v>
      </c>
      <c r="D152" s="502"/>
    </row>
    <row r="153" spans="1:4" ht="12.75" x14ac:dyDescent="0.2">
      <c r="A153" s="502"/>
      <c r="B153" s="505" t="s">
        <v>676</v>
      </c>
      <c r="C153" t="s">
        <v>1165</v>
      </c>
      <c r="D153" s="502"/>
    </row>
    <row r="154" spans="1:4" ht="12.75" x14ac:dyDescent="0.2">
      <c r="A154" s="502"/>
      <c r="B154" s="505" t="s">
        <v>677</v>
      </c>
      <c r="C154" t="s">
        <v>1165</v>
      </c>
      <c r="D154" s="502"/>
    </row>
    <row r="155" spans="1:4" ht="12.75" x14ac:dyDescent="0.2">
      <c r="A155" s="502"/>
      <c r="B155" s="505" t="s">
        <v>850</v>
      </c>
      <c r="C155" t="s">
        <v>1165</v>
      </c>
      <c r="D155" s="502"/>
    </row>
    <row r="156" spans="1:4" ht="12.75" x14ac:dyDescent="0.2">
      <c r="A156" s="502"/>
      <c r="B156" s="505" t="s">
        <v>812</v>
      </c>
      <c r="C156" t="s">
        <v>1165</v>
      </c>
      <c r="D156" s="502"/>
    </row>
    <row r="157" spans="1:4" ht="12.75" x14ac:dyDescent="0.2">
      <c r="A157" s="502"/>
      <c r="B157" s="505" t="s">
        <v>678</v>
      </c>
      <c r="C157" t="s">
        <v>1166</v>
      </c>
      <c r="D157" s="502"/>
    </row>
    <row r="158" spans="1:4" ht="12.75" x14ac:dyDescent="0.2">
      <c r="A158" s="502"/>
      <c r="B158" s="505" t="s">
        <v>679</v>
      </c>
      <c r="C158" t="s">
        <v>1166</v>
      </c>
      <c r="D158" s="502"/>
    </row>
    <row r="159" spans="1:4" ht="12.75" x14ac:dyDescent="0.2">
      <c r="A159" s="502"/>
      <c r="B159" s="505" t="s">
        <v>680</v>
      </c>
      <c r="C159" t="s">
        <v>1166</v>
      </c>
      <c r="D159" s="502"/>
    </row>
    <row r="160" spans="1:4" ht="12.75" x14ac:dyDescent="0.2">
      <c r="A160" s="502"/>
      <c r="B160" s="505" t="s">
        <v>681</v>
      </c>
      <c r="C160" t="s">
        <v>1166</v>
      </c>
      <c r="D160" s="502"/>
    </row>
    <row r="161" spans="1:4" ht="12.75" x14ac:dyDescent="0.2">
      <c r="A161" s="502"/>
      <c r="B161" s="505" t="s">
        <v>682</v>
      </c>
      <c r="C161" t="s">
        <v>1166</v>
      </c>
      <c r="D161" s="502"/>
    </row>
    <row r="162" spans="1:4" ht="12.75" x14ac:dyDescent="0.2">
      <c r="A162" s="502"/>
      <c r="B162" s="505" t="s">
        <v>585</v>
      </c>
      <c r="C162" t="s">
        <v>1166</v>
      </c>
      <c r="D162" s="502"/>
    </row>
    <row r="163" spans="1:4" ht="12.75" x14ac:dyDescent="0.2">
      <c r="A163" s="502"/>
      <c r="B163" s="505" t="s">
        <v>683</v>
      </c>
      <c r="C163" t="s">
        <v>1166</v>
      </c>
      <c r="D163" s="502"/>
    </row>
    <row r="164" spans="1:4" ht="12.75" x14ac:dyDescent="0.2">
      <c r="A164" s="502"/>
      <c r="B164" s="505" t="s">
        <v>684</v>
      </c>
      <c r="C164" t="s">
        <v>1166</v>
      </c>
      <c r="D164" s="502"/>
    </row>
    <row r="165" spans="1:4" ht="12.75" x14ac:dyDescent="0.2">
      <c r="A165" s="502"/>
      <c r="B165" s="505" t="s">
        <v>685</v>
      </c>
      <c r="C165" t="s">
        <v>1166</v>
      </c>
      <c r="D165" s="502"/>
    </row>
    <row r="166" spans="1:4" ht="12.75" x14ac:dyDescent="0.2">
      <c r="A166" s="502"/>
      <c r="B166" s="505" t="s">
        <v>989</v>
      </c>
      <c r="C166" t="s">
        <v>1166</v>
      </c>
      <c r="D166" s="502"/>
    </row>
    <row r="167" spans="1:4" ht="12.75" x14ac:dyDescent="0.2">
      <c r="A167" s="502"/>
      <c r="B167" s="505" t="s">
        <v>586</v>
      </c>
      <c r="C167" t="s">
        <v>1166</v>
      </c>
      <c r="D167" s="502"/>
    </row>
    <row r="168" spans="1:4" ht="12.75" x14ac:dyDescent="0.2">
      <c r="A168" s="502"/>
      <c r="B168" s="505" t="s">
        <v>686</v>
      </c>
      <c r="C168" t="s">
        <v>1166</v>
      </c>
      <c r="D168" s="502"/>
    </row>
    <row r="169" spans="1:4" ht="12.75" x14ac:dyDescent="0.2">
      <c r="A169" s="502"/>
      <c r="B169" s="505" t="s">
        <v>687</v>
      </c>
      <c r="C169" t="s">
        <v>1166</v>
      </c>
      <c r="D169" s="502"/>
    </row>
    <row r="170" spans="1:4" ht="12.75" x14ac:dyDescent="0.2">
      <c r="A170" s="502"/>
      <c r="B170" s="505" t="s">
        <v>688</v>
      </c>
      <c r="C170" t="s">
        <v>1166</v>
      </c>
      <c r="D170" s="502"/>
    </row>
    <row r="171" spans="1:4" ht="12.75" x14ac:dyDescent="0.2">
      <c r="A171" s="502"/>
      <c r="B171" s="505" t="s">
        <v>689</v>
      </c>
      <c r="C171" t="s">
        <v>1166</v>
      </c>
      <c r="D171" s="502"/>
    </row>
    <row r="172" spans="1:4" ht="12.75" x14ac:dyDescent="0.2">
      <c r="A172" s="502"/>
      <c r="B172" s="505" t="s">
        <v>587</v>
      </c>
      <c r="C172" t="s">
        <v>1166</v>
      </c>
      <c r="D172" s="502"/>
    </row>
    <row r="173" spans="1:4" ht="12.75" x14ac:dyDescent="0.2">
      <c r="A173" s="502"/>
      <c r="B173" s="505" t="s">
        <v>690</v>
      </c>
      <c r="C173" t="s">
        <v>1166</v>
      </c>
      <c r="D173" s="502"/>
    </row>
    <row r="174" spans="1:4" ht="12.75" x14ac:dyDescent="0.2">
      <c r="A174" s="502"/>
      <c r="B174" s="505" t="s">
        <v>691</v>
      </c>
      <c r="C174" t="s">
        <v>1166</v>
      </c>
      <c r="D174" s="502"/>
    </row>
    <row r="175" spans="1:4" ht="12.75" x14ac:dyDescent="0.2">
      <c r="A175" s="502"/>
      <c r="B175" s="505" t="s">
        <v>692</v>
      </c>
      <c r="C175" t="s">
        <v>1166</v>
      </c>
      <c r="D175" s="502"/>
    </row>
    <row r="176" spans="1:4" ht="12.75" x14ac:dyDescent="0.2">
      <c r="A176" s="502"/>
      <c r="B176" s="505" t="s">
        <v>693</v>
      </c>
      <c r="C176" t="s">
        <v>1166</v>
      </c>
      <c r="D176" s="502"/>
    </row>
    <row r="177" spans="1:4" ht="12.75" x14ac:dyDescent="0.2">
      <c r="A177" s="502"/>
      <c r="B177" s="505" t="s">
        <v>990</v>
      </c>
      <c r="C177" t="s">
        <v>1166</v>
      </c>
      <c r="D177" s="502"/>
    </row>
    <row r="178" spans="1:4" ht="12.75" x14ac:dyDescent="0.2">
      <c r="A178" s="502"/>
      <c r="B178" s="505" t="s">
        <v>588</v>
      </c>
      <c r="C178" t="s">
        <v>1166</v>
      </c>
      <c r="D178" s="502"/>
    </row>
    <row r="179" spans="1:4" ht="12.75" x14ac:dyDescent="0.2">
      <c r="A179" s="502"/>
      <c r="B179" s="505" t="s">
        <v>797</v>
      </c>
      <c r="C179" s="505" t="s">
        <v>1166</v>
      </c>
      <c r="D179" s="502"/>
    </row>
    <row r="180" spans="1:4" ht="12.75" x14ac:dyDescent="0.2">
      <c r="A180" s="502"/>
      <c r="B180" s="505" t="s">
        <v>694</v>
      </c>
      <c r="C180" s="505" t="s">
        <v>1166</v>
      </c>
      <c r="D180" s="502"/>
    </row>
    <row r="181" spans="1:4" ht="12.75" x14ac:dyDescent="0.2">
      <c r="A181" s="502"/>
      <c r="B181" s="505" t="s">
        <v>798</v>
      </c>
      <c r="C181" s="505" t="s">
        <v>1166</v>
      </c>
      <c r="D181" s="502"/>
    </row>
    <row r="182" spans="1:4" ht="12.75" x14ac:dyDescent="0.2">
      <c r="A182" s="502"/>
      <c r="B182" s="505" t="s">
        <v>991</v>
      </c>
      <c r="C182" s="505" t="s">
        <v>1166</v>
      </c>
      <c r="D182" s="502"/>
    </row>
    <row r="183" spans="1:4" ht="12.75" x14ac:dyDescent="0.2">
      <c r="A183" s="502"/>
      <c r="B183" s="505" t="s">
        <v>813</v>
      </c>
      <c r="C183" s="505" t="s">
        <v>1166</v>
      </c>
      <c r="D183" s="502"/>
    </row>
    <row r="184" spans="1:4" ht="12.75" x14ac:dyDescent="0.2">
      <c r="A184" s="502"/>
      <c r="B184" s="505" t="s">
        <v>695</v>
      </c>
      <c r="C184" s="505" t="s">
        <v>1167</v>
      </c>
      <c r="D184" s="502"/>
    </row>
    <row r="185" spans="1:4" ht="12.75" x14ac:dyDescent="0.2">
      <c r="A185" s="502"/>
      <c r="B185" s="505" t="s">
        <v>696</v>
      </c>
      <c r="C185" s="505" t="s">
        <v>1167</v>
      </c>
      <c r="D185" s="502"/>
    </row>
    <row r="186" spans="1:4" ht="12.75" x14ac:dyDescent="0.2">
      <c r="A186" s="502"/>
      <c r="B186" s="505" t="s">
        <v>697</v>
      </c>
      <c r="C186" s="505" t="s">
        <v>1167</v>
      </c>
      <c r="D186" s="502"/>
    </row>
    <row r="187" spans="1:4" ht="12.75" x14ac:dyDescent="0.2">
      <c r="A187" s="502"/>
      <c r="B187" s="505" t="s">
        <v>799</v>
      </c>
      <c r="C187" s="505" t="s">
        <v>1167</v>
      </c>
      <c r="D187" s="502"/>
    </row>
    <row r="188" spans="1:4" ht="12.75" x14ac:dyDescent="0.2">
      <c r="A188" s="502"/>
      <c r="B188" s="505" t="s">
        <v>698</v>
      </c>
      <c r="C188" s="505" t="s">
        <v>1167</v>
      </c>
      <c r="D188" s="502"/>
    </row>
    <row r="189" spans="1:4" ht="12.75" x14ac:dyDescent="0.2">
      <c r="A189" s="502"/>
      <c r="B189" s="505" t="s">
        <v>699</v>
      </c>
      <c r="C189" s="505" t="s">
        <v>1167</v>
      </c>
      <c r="D189" s="502"/>
    </row>
    <row r="190" spans="1:4" ht="12.75" x14ac:dyDescent="0.2">
      <c r="A190" s="502"/>
      <c r="B190" s="505" t="s">
        <v>700</v>
      </c>
      <c r="C190" s="505" t="s">
        <v>1167</v>
      </c>
      <c r="D190" s="502"/>
    </row>
    <row r="191" spans="1:4" ht="12.75" x14ac:dyDescent="0.2">
      <c r="A191" s="502"/>
      <c r="B191" s="505" t="s">
        <v>582</v>
      </c>
      <c r="C191" s="505" t="s">
        <v>1167</v>
      </c>
      <c r="D191" s="502"/>
    </row>
    <row r="192" spans="1:4" ht="12.75" x14ac:dyDescent="0.2">
      <c r="A192" s="502"/>
      <c r="B192" s="505" t="s">
        <v>800</v>
      </c>
      <c r="C192" s="505" t="s">
        <v>1167</v>
      </c>
      <c r="D192" s="502"/>
    </row>
    <row r="193" spans="1:4" ht="12.75" x14ac:dyDescent="0.2">
      <c r="A193" s="502"/>
      <c r="B193" s="505" t="s">
        <v>814</v>
      </c>
      <c r="C193" s="505" t="s">
        <v>1167</v>
      </c>
      <c r="D193" s="502"/>
    </row>
    <row r="194" spans="1:4" ht="12.75" x14ac:dyDescent="0.2">
      <c r="A194" s="502"/>
      <c r="B194" s="505" t="s">
        <v>701</v>
      </c>
      <c r="C194" s="505" t="s">
        <v>1167</v>
      </c>
      <c r="D194" s="502"/>
    </row>
    <row r="195" spans="1:4" ht="12.75" x14ac:dyDescent="0.2">
      <c r="A195" s="502"/>
      <c r="B195" s="505" t="s">
        <v>702</v>
      </c>
      <c r="C195" s="505" t="s">
        <v>1167</v>
      </c>
      <c r="D195" s="502"/>
    </row>
    <row r="196" spans="1:4" ht="12.75" x14ac:dyDescent="0.2">
      <c r="A196" s="502"/>
      <c r="B196" s="505" t="s">
        <v>815</v>
      </c>
      <c r="C196" s="505" t="s">
        <v>1167</v>
      </c>
      <c r="D196" s="502"/>
    </row>
    <row r="197" spans="1:4" ht="12.75" x14ac:dyDescent="0.2">
      <c r="A197" s="502"/>
      <c r="B197" s="505" t="s">
        <v>703</v>
      </c>
      <c r="C197" s="505" t="s">
        <v>1167</v>
      </c>
      <c r="D197" s="502"/>
    </row>
    <row r="198" spans="1:4" ht="12.75" x14ac:dyDescent="0.2">
      <c r="A198" s="502"/>
      <c r="B198" s="505" t="s">
        <v>583</v>
      </c>
      <c r="C198" s="505" t="s">
        <v>1167</v>
      </c>
      <c r="D198" s="502"/>
    </row>
    <row r="199" spans="1:4" ht="12.75" x14ac:dyDescent="0.2">
      <c r="A199" s="502"/>
      <c r="B199" s="505" t="s">
        <v>704</v>
      </c>
      <c r="C199" s="505" t="s">
        <v>1167</v>
      </c>
      <c r="D199" s="502"/>
    </row>
    <row r="200" spans="1:4" ht="12.75" x14ac:dyDescent="0.2">
      <c r="A200" s="502"/>
      <c r="B200" s="505" t="s">
        <v>705</v>
      </c>
      <c r="C200" s="505" t="s">
        <v>1167</v>
      </c>
      <c r="D200" s="502"/>
    </row>
    <row r="201" spans="1:4" ht="12.75" x14ac:dyDescent="0.2">
      <c r="A201" s="502"/>
      <c r="B201" s="505" t="s">
        <v>706</v>
      </c>
      <c r="C201" s="505" t="s">
        <v>1167</v>
      </c>
      <c r="D201" s="502"/>
    </row>
    <row r="202" spans="1:4" ht="12.75" x14ac:dyDescent="0.2">
      <c r="A202" s="502"/>
      <c r="B202" s="505" t="s">
        <v>851</v>
      </c>
      <c r="C202" s="505" t="s">
        <v>1167</v>
      </c>
      <c r="D202" s="502"/>
    </row>
    <row r="203" spans="1:4" ht="12.75" x14ac:dyDescent="0.2">
      <c r="A203" s="502"/>
      <c r="B203" s="505" t="s">
        <v>584</v>
      </c>
      <c r="C203" s="505" t="s">
        <v>1167</v>
      </c>
      <c r="D203" s="502"/>
    </row>
    <row r="204" spans="1:4" ht="12.75" x14ac:dyDescent="0.2">
      <c r="A204" s="502"/>
      <c r="B204" s="505" t="s">
        <v>801</v>
      </c>
      <c r="C204" s="505" t="s">
        <v>1168</v>
      </c>
      <c r="D204" s="502"/>
    </row>
    <row r="205" spans="1:4" ht="12.75" x14ac:dyDescent="0.2">
      <c r="A205" s="502"/>
      <c r="B205" s="505" t="s">
        <v>729</v>
      </c>
      <c r="C205" s="505" t="s">
        <v>1168</v>
      </c>
      <c r="D205" s="502"/>
    </row>
    <row r="206" spans="1:4" ht="12.75" x14ac:dyDescent="0.2">
      <c r="A206" s="502"/>
      <c r="B206" s="505" t="s">
        <v>730</v>
      </c>
      <c r="C206" s="505" t="s">
        <v>1168</v>
      </c>
      <c r="D206" s="502"/>
    </row>
    <row r="207" spans="1:4" ht="12.75" x14ac:dyDescent="0.2">
      <c r="A207" s="502"/>
      <c r="B207" s="505" t="s">
        <v>792</v>
      </c>
      <c r="C207" s="505" t="s">
        <v>1168</v>
      </c>
      <c r="D207" s="502"/>
    </row>
    <row r="208" spans="1:4" ht="12.75" x14ac:dyDescent="0.2">
      <c r="A208" s="502"/>
      <c r="B208" s="505" t="s">
        <v>707</v>
      </c>
      <c r="C208" s="505" t="s">
        <v>1168</v>
      </c>
      <c r="D208" s="502"/>
    </row>
    <row r="209" spans="1:4" ht="12.75" x14ac:dyDescent="0.2">
      <c r="A209" s="502"/>
      <c r="B209" s="505" t="s">
        <v>708</v>
      </c>
      <c r="C209" s="505" t="s">
        <v>1168</v>
      </c>
      <c r="D209" s="502"/>
    </row>
    <row r="210" spans="1:4" ht="12.75" x14ac:dyDescent="0.2">
      <c r="A210" s="502"/>
      <c r="B210" s="505" t="s">
        <v>709</v>
      </c>
      <c r="C210" s="505" t="s">
        <v>1168</v>
      </c>
      <c r="D210" s="502"/>
    </row>
    <row r="211" spans="1:4" ht="12.75" x14ac:dyDescent="0.2">
      <c r="A211" s="502"/>
      <c r="B211" s="505" t="s">
        <v>710</v>
      </c>
      <c r="C211" s="505" t="s">
        <v>1168</v>
      </c>
      <c r="D211" s="502"/>
    </row>
    <row r="212" spans="1:4" ht="12.75" x14ac:dyDescent="0.2">
      <c r="A212" s="502"/>
      <c r="B212" s="505" t="s">
        <v>711</v>
      </c>
      <c r="C212" s="505" t="s">
        <v>1168</v>
      </c>
      <c r="D212" s="502"/>
    </row>
    <row r="213" spans="1:4" ht="12.75" x14ac:dyDescent="0.2">
      <c r="A213" s="502"/>
      <c r="B213" s="505" t="s">
        <v>712</v>
      </c>
      <c r="C213" s="505" t="s">
        <v>1168</v>
      </c>
      <c r="D213" s="502"/>
    </row>
    <row r="214" spans="1:4" ht="12.75" x14ac:dyDescent="0.2">
      <c r="A214" s="502"/>
      <c r="B214" s="505" t="s">
        <v>597</v>
      </c>
      <c r="C214" s="505" t="s">
        <v>1168</v>
      </c>
      <c r="D214" s="502"/>
    </row>
    <row r="215" spans="1:4" ht="12.75" x14ac:dyDescent="0.2">
      <c r="A215" s="502"/>
      <c r="B215" s="505" t="s">
        <v>713</v>
      </c>
      <c r="C215" s="505" t="s">
        <v>1168</v>
      </c>
      <c r="D215" s="502"/>
    </row>
    <row r="216" spans="1:4" ht="12.75" x14ac:dyDescent="0.2">
      <c r="A216" s="502"/>
      <c r="B216" s="505" t="s">
        <v>714</v>
      </c>
      <c r="C216" s="505" t="s">
        <v>1168</v>
      </c>
      <c r="D216" s="502"/>
    </row>
    <row r="217" spans="1:4" ht="12.75" x14ac:dyDescent="0.2">
      <c r="A217" s="502"/>
      <c r="B217" s="505" t="s">
        <v>715</v>
      </c>
      <c r="C217" s="505" t="s">
        <v>1168</v>
      </c>
      <c r="D217" s="502"/>
    </row>
    <row r="218" spans="1:4" ht="12.75" x14ac:dyDescent="0.2">
      <c r="A218" s="502"/>
      <c r="B218" s="505" t="s">
        <v>716</v>
      </c>
      <c r="C218" s="505" t="s">
        <v>1168</v>
      </c>
      <c r="D218" s="502"/>
    </row>
    <row r="219" spans="1:4" ht="12.75" x14ac:dyDescent="0.2">
      <c r="A219" s="502"/>
      <c r="B219" s="505" t="s">
        <v>717</v>
      </c>
      <c r="C219" s="505" t="s">
        <v>1168</v>
      </c>
      <c r="D219" s="502"/>
    </row>
    <row r="220" spans="1:4" ht="12.75" x14ac:dyDescent="0.2">
      <c r="A220" s="502"/>
      <c r="B220" s="505" t="s">
        <v>718</v>
      </c>
      <c r="C220" s="505" t="s">
        <v>1168</v>
      </c>
      <c r="D220" s="502"/>
    </row>
    <row r="221" spans="1:4" ht="12.75" x14ac:dyDescent="0.2">
      <c r="A221" s="502"/>
      <c r="B221" s="505" t="s">
        <v>719</v>
      </c>
      <c r="C221" s="505" t="s">
        <v>1168</v>
      </c>
      <c r="D221" s="502"/>
    </row>
    <row r="222" spans="1:4" ht="12.75" x14ac:dyDescent="0.2">
      <c r="A222" s="502"/>
      <c r="B222" s="505" t="s">
        <v>720</v>
      </c>
      <c r="C222" s="505" t="s">
        <v>1168</v>
      </c>
      <c r="D222" s="502"/>
    </row>
    <row r="223" spans="1:4" ht="12.75" x14ac:dyDescent="0.2">
      <c r="A223" s="502"/>
      <c r="B223" s="505" t="s">
        <v>816</v>
      </c>
      <c r="C223" s="505" t="s">
        <v>1168</v>
      </c>
      <c r="D223" s="502"/>
    </row>
    <row r="224" spans="1:4" ht="12.75" x14ac:dyDescent="0.2">
      <c r="A224" s="502"/>
      <c r="B224" s="505" t="s">
        <v>721</v>
      </c>
      <c r="C224" s="505" t="s">
        <v>1168</v>
      </c>
      <c r="D224" s="502"/>
    </row>
    <row r="225" spans="1:4" ht="12.75" x14ac:dyDescent="0.2">
      <c r="A225" s="502"/>
      <c r="B225" s="505" t="s">
        <v>722</v>
      </c>
      <c r="C225" s="505" t="s">
        <v>1168</v>
      </c>
      <c r="D225" s="502"/>
    </row>
    <row r="226" spans="1:4" ht="12.75" x14ac:dyDescent="0.2">
      <c r="A226" s="502"/>
      <c r="B226" s="505" t="s">
        <v>723</v>
      </c>
      <c r="C226" s="505" t="s">
        <v>1168</v>
      </c>
      <c r="D226" s="502"/>
    </row>
    <row r="227" spans="1:4" ht="12.75" x14ac:dyDescent="0.2">
      <c r="A227" s="502"/>
      <c r="B227" s="505" t="s">
        <v>724</v>
      </c>
      <c r="C227" s="505" t="s">
        <v>1168</v>
      </c>
      <c r="D227" s="502"/>
    </row>
    <row r="228" spans="1:4" ht="12.75" x14ac:dyDescent="0.2">
      <c r="A228" s="502"/>
      <c r="B228" s="505" t="s">
        <v>992</v>
      </c>
      <c r="C228" s="505" t="s">
        <v>1168</v>
      </c>
      <c r="D228" s="502"/>
    </row>
    <row r="229" spans="1:4" ht="12.75" x14ac:dyDescent="0.2">
      <c r="A229" s="502"/>
      <c r="B229" s="505" t="s">
        <v>842</v>
      </c>
      <c r="C229" s="505" t="s">
        <v>1168</v>
      </c>
      <c r="D229" s="502"/>
    </row>
    <row r="230" spans="1:4" ht="12.75" x14ac:dyDescent="0.2">
      <c r="A230" s="502"/>
      <c r="B230" s="505" t="s">
        <v>725</v>
      </c>
      <c r="C230" s="505" t="s">
        <v>1168</v>
      </c>
      <c r="D230" s="502"/>
    </row>
    <row r="231" spans="1:4" ht="12.75" x14ac:dyDescent="0.2">
      <c r="A231" s="502"/>
      <c r="B231" s="505" t="s">
        <v>726</v>
      </c>
      <c r="C231" s="505" t="s">
        <v>1168</v>
      </c>
      <c r="D231" s="502"/>
    </row>
    <row r="232" spans="1:4" ht="12.75" x14ac:dyDescent="0.2">
      <c r="A232" s="502"/>
      <c r="B232" s="505" t="s">
        <v>727</v>
      </c>
      <c r="C232" s="505" t="s">
        <v>1168</v>
      </c>
      <c r="D232" s="502"/>
    </row>
    <row r="233" spans="1:4" ht="12.75" x14ac:dyDescent="0.2">
      <c r="A233" s="502"/>
      <c r="B233" s="505" t="s">
        <v>728</v>
      </c>
      <c r="C233" s="505" t="s">
        <v>1168</v>
      </c>
      <c r="D233" s="502"/>
    </row>
    <row r="234" spans="1:4" ht="12.75" x14ac:dyDescent="0.2">
      <c r="A234" s="502"/>
      <c r="B234" s="505" t="s">
        <v>598</v>
      </c>
      <c r="C234" s="505" t="s">
        <v>1168</v>
      </c>
      <c r="D234" s="502"/>
    </row>
    <row r="235" spans="1:4" ht="12.75" x14ac:dyDescent="0.2">
      <c r="A235" s="502"/>
      <c r="B235" s="505" t="s">
        <v>731</v>
      </c>
      <c r="C235" s="505" t="s">
        <v>1169</v>
      </c>
      <c r="D235" s="502"/>
    </row>
    <row r="236" spans="1:4" ht="12.75" x14ac:dyDescent="0.2">
      <c r="A236" s="502"/>
      <c r="B236" s="505" t="s">
        <v>732</v>
      </c>
      <c r="C236" s="505" t="s">
        <v>1169</v>
      </c>
      <c r="D236" s="502"/>
    </row>
    <row r="237" spans="1:4" ht="12.75" x14ac:dyDescent="0.2">
      <c r="A237" s="502"/>
      <c r="B237" s="505" t="s">
        <v>733</v>
      </c>
      <c r="C237" s="505" t="s">
        <v>1169</v>
      </c>
      <c r="D237" s="502"/>
    </row>
    <row r="238" spans="1:4" ht="12.75" x14ac:dyDescent="0.2">
      <c r="A238" s="502"/>
      <c r="B238" s="505" t="s">
        <v>734</v>
      </c>
      <c r="C238" s="505" t="s">
        <v>1169</v>
      </c>
      <c r="D238" s="502"/>
    </row>
    <row r="239" spans="1:4" ht="12.75" x14ac:dyDescent="0.2">
      <c r="A239" s="502"/>
      <c r="B239" s="505" t="s">
        <v>735</v>
      </c>
      <c r="C239" s="505" t="s">
        <v>1169</v>
      </c>
      <c r="D239" s="502"/>
    </row>
    <row r="240" spans="1:4" ht="12.75" x14ac:dyDescent="0.2">
      <c r="A240" s="502"/>
      <c r="B240" s="505" t="s">
        <v>589</v>
      </c>
      <c r="C240" s="505" t="s">
        <v>1169</v>
      </c>
      <c r="D240" s="502"/>
    </row>
    <row r="241" spans="1:4" ht="12.75" x14ac:dyDescent="0.2">
      <c r="A241" s="502"/>
      <c r="B241" s="505" t="s">
        <v>736</v>
      </c>
      <c r="C241" s="505" t="s">
        <v>1169</v>
      </c>
      <c r="D241" s="502"/>
    </row>
    <row r="242" spans="1:4" ht="12.75" x14ac:dyDescent="0.2">
      <c r="A242" s="502"/>
      <c r="B242" s="505" t="s">
        <v>737</v>
      </c>
      <c r="C242" s="505" t="s">
        <v>1169</v>
      </c>
      <c r="D242" s="502"/>
    </row>
    <row r="243" spans="1:4" ht="12.75" x14ac:dyDescent="0.2">
      <c r="A243" s="502"/>
      <c r="B243" s="505" t="s">
        <v>738</v>
      </c>
      <c r="C243" s="505" t="s">
        <v>1169</v>
      </c>
      <c r="D243" s="502"/>
    </row>
    <row r="244" spans="1:4" ht="12.75" x14ac:dyDescent="0.2">
      <c r="A244" s="502"/>
      <c r="B244" s="505" t="s">
        <v>739</v>
      </c>
      <c r="C244" s="505" t="s">
        <v>1169</v>
      </c>
      <c r="D244" s="502"/>
    </row>
    <row r="245" spans="1:4" ht="12.75" x14ac:dyDescent="0.2">
      <c r="A245" s="502"/>
      <c r="B245" s="505" t="s">
        <v>740</v>
      </c>
      <c r="C245" s="505" t="s">
        <v>1169</v>
      </c>
      <c r="D245" s="502"/>
    </row>
    <row r="246" spans="1:4" ht="12.75" x14ac:dyDescent="0.2">
      <c r="A246" s="502"/>
      <c r="B246" s="505" t="s">
        <v>590</v>
      </c>
      <c r="C246" s="505" t="s">
        <v>1169</v>
      </c>
      <c r="D246" s="502"/>
    </row>
    <row r="247" spans="1:4" ht="12.75" x14ac:dyDescent="0.2">
      <c r="A247" s="502"/>
      <c r="B247" s="505" t="s">
        <v>741</v>
      </c>
      <c r="C247" s="505" t="s">
        <v>1169</v>
      </c>
      <c r="D247" s="502"/>
    </row>
    <row r="248" spans="1:4" ht="12.75" x14ac:dyDescent="0.2">
      <c r="A248" s="502"/>
      <c r="B248" s="505" t="s">
        <v>742</v>
      </c>
      <c r="C248" s="505" t="s">
        <v>1169</v>
      </c>
      <c r="D248" s="502"/>
    </row>
    <row r="249" spans="1:4" ht="12.75" x14ac:dyDescent="0.2">
      <c r="A249" s="502"/>
      <c r="B249" s="505" t="s">
        <v>743</v>
      </c>
      <c r="C249" s="505" t="s">
        <v>1169</v>
      </c>
      <c r="D249" s="502"/>
    </row>
    <row r="250" spans="1:4" ht="12.75" x14ac:dyDescent="0.2">
      <c r="A250" s="502"/>
      <c r="B250" s="505" t="s">
        <v>744</v>
      </c>
      <c r="C250" s="505" t="s">
        <v>1169</v>
      </c>
      <c r="D250" s="502"/>
    </row>
    <row r="251" spans="1:4" ht="12.75" x14ac:dyDescent="0.2">
      <c r="A251" s="502"/>
      <c r="B251" s="505" t="s">
        <v>843</v>
      </c>
      <c r="C251" s="505" t="s">
        <v>1169</v>
      </c>
      <c r="D251" s="502"/>
    </row>
    <row r="252" spans="1:4" ht="12.75" x14ac:dyDescent="0.2">
      <c r="A252" s="502"/>
      <c r="B252" s="505" t="s">
        <v>591</v>
      </c>
      <c r="C252" s="505" t="s">
        <v>1169</v>
      </c>
      <c r="D252" s="502"/>
    </row>
    <row r="253" spans="1:4" ht="12.75" x14ac:dyDescent="0.2">
      <c r="A253" s="502"/>
      <c r="B253" s="505" t="s">
        <v>745</v>
      </c>
      <c r="C253" s="505" t="s">
        <v>1169</v>
      </c>
      <c r="D253" s="502"/>
    </row>
    <row r="254" spans="1:4" ht="12.75" x14ac:dyDescent="0.2">
      <c r="A254" s="502"/>
      <c r="B254" s="505" t="s">
        <v>746</v>
      </c>
      <c r="C254" s="505" t="s">
        <v>1169</v>
      </c>
      <c r="D254" s="502"/>
    </row>
    <row r="255" spans="1:4" ht="12.75" x14ac:dyDescent="0.2">
      <c r="A255" s="502"/>
      <c r="B255" s="505" t="s">
        <v>993</v>
      </c>
      <c r="C255" s="505" t="s">
        <v>1169</v>
      </c>
      <c r="D255" s="502"/>
    </row>
    <row r="256" spans="1:4" ht="12.75" x14ac:dyDescent="0.2">
      <c r="A256" s="502"/>
      <c r="B256" s="505" t="s">
        <v>592</v>
      </c>
      <c r="C256" s="505" t="s">
        <v>1169</v>
      </c>
      <c r="D256" s="502"/>
    </row>
    <row r="257" spans="1:4" ht="12.75" x14ac:dyDescent="0.2">
      <c r="A257" s="502"/>
      <c r="B257" s="505" t="s">
        <v>817</v>
      </c>
      <c r="C257" s="505" t="s">
        <v>1170</v>
      </c>
      <c r="D257" s="502"/>
    </row>
    <row r="258" spans="1:4" ht="12.75" x14ac:dyDescent="0.2">
      <c r="A258" s="502"/>
      <c r="B258" s="505" t="s">
        <v>747</v>
      </c>
      <c r="C258" s="505" t="s">
        <v>1170</v>
      </c>
      <c r="D258" s="502"/>
    </row>
    <row r="259" spans="1:4" ht="12.75" x14ac:dyDescent="0.2">
      <c r="A259" s="502"/>
      <c r="B259" s="505" t="s">
        <v>748</v>
      </c>
      <c r="C259" s="505" t="s">
        <v>1170</v>
      </c>
      <c r="D259" s="502"/>
    </row>
    <row r="260" spans="1:4" ht="12.75" x14ac:dyDescent="0.2">
      <c r="A260" s="502"/>
      <c r="B260" s="505" t="s">
        <v>749</v>
      </c>
      <c r="C260" s="505" t="s">
        <v>1170</v>
      </c>
      <c r="D260" s="502"/>
    </row>
    <row r="261" spans="1:4" ht="12.75" x14ac:dyDescent="0.2">
      <c r="A261" s="502"/>
      <c r="B261" s="505" t="s">
        <v>750</v>
      </c>
      <c r="C261" s="505" t="s">
        <v>1170</v>
      </c>
      <c r="D261" s="502"/>
    </row>
    <row r="262" spans="1:4" ht="12.75" x14ac:dyDescent="0.2">
      <c r="A262" s="502"/>
      <c r="B262" s="505" t="s">
        <v>751</v>
      </c>
      <c r="C262" s="505" t="s">
        <v>1170</v>
      </c>
      <c r="D262" s="502"/>
    </row>
    <row r="263" spans="1:4" ht="12.75" x14ac:dyDescent="0.2">
      <c r="A263" s="502"/>
      <c r="B263" s="505" t="s">
        <v>565</v>
      </c>
      <c r="C263" s="505" t="s">
        <v>1170</v>
      </c>
      <c r="D263" s="502"/>
    </row>
    <row r="264" spans="1:4" ht="12.75" x14ac:dyDescent="0.2">
      <c r="A264" s="502"/>
      <c r="B264" s="505" t="s">
        <v>752</v>
      </c>
      <c r="C264" s="505" t="s">
        <v>1170</v>
      </c>
      <c r="D264" s="502"/>
    </row>
    <row r="265" spans="1:4" ht="12.75" x14ac:dyDescent="0.2">
      <c r="A265" s="502"/>
      <c r="B265" s="505" t="s">
        <v>753</v>
      </c>
      <c r="C265" s="505" t="s">
        <v>1170</v>
      </c>
      <c r="D265" s="502"/>
    </row>
    <row r="266" spans="1:4" ht="12.75" x14ac:dyDescent="0.2">
      <c r="A266" s="502"/>
      <c r="B266" s="505" t="s">
        <v>754</v>
      </c>
      <c r="C266" s="505" t="s">
        <v>1170</v>
      </c>
      <c r="D266" s="502"/>
    </row>
    <row r="267" spans="1:4" ht="12.75" x14ac:dyDescent="0.2">
      <c r="A267" s="502"/>
      <c r="B267" s="505" t="s">
        <v>755</v>
      </c>
      <c r="C267" s="505" t="s">
        <v>1170</v>
      </c>
      <c r="D267" s="502"/>
    </row>
    <row r="268" spans="1:4" ht="12.75" x14ac:dyDescent="0.2">
      <c r="A268" s="502"/>
      <c r="B268" s="505" t="s">
        <v>802</v>
      </c>
      <c r="C268" s="505" t="s">
        <v>1170</v>
      </c>
      <c r="D268" s="502"/>
    </row>
    <row r="269" spans="1:4" ht="12.75" x14ac:dyDescent="0.2">
      <c r="A269" s="502"/>
      <c r="B269" s="505" t="s">
        <v>818</v>
      </c>
      <c r="C269" s="505" t="s">
        <v>1170</v>
      </c>
      <c r="D269" s="502"/>
    </row>
    <row r="270" spans="1:4" ht="12.75" x14ac:dyDescent="0.2">
      <c r="A270" s="502"/>
      <c r="B270" s="505" t="s">
        <v>756</v>
      </c>
      <c r="C270" s="505" t="s">
        <v>1170</v>
      </c>
      <c r="D270" s="502"/>
    </row>
    <row r="271" spans="1:4" ht="12.75" x14ac:dyDescent="0.2">
      <c r="A271" s="502"/>
      <c r="B271" s="505" t="s">
        <v>757</v>
      </c>
      <c r="C271" s="505" t="s">
        <v>1170</v>
      </c>
      <c r="D271" s="502"/>
    </row>
    <row r="272" spans="1:4" ht="12.75" x14ac:dyDescent="0.2">
      <c r="A272" s="502"/>
      <c r="B272" s="505" t="s">
        <v>758</v>
      </c>
      <c r="C272" s="505" t="s">
        <v>1170</v>
      </c>
      <c r="D272" s="502"/>
    </row>
    <row r="273" spans="1:4" ht="12.75" x14ac:dyDescent="0.2">
      <c r="A273" s="502"/>
      <c r="B273" s="505" t="s">
        <v>759</v>
      </c>
      <c r="C273" s="505" t="s">
        <v>1170</v>
      </c>
      <c r="D273" s="502"/>
    </row>
    <row r="274" spans="1:4" ht="12.75" x14ac:dyDescent="0.2">
      <c r="A274" s="502"/>
      <c r="B274" s="505" t="s">
        <v>581</v>
      </c>
      <c r="C274" s="505" t="s">
        <v>1170</v>
      </c>
      <c r="D274" s="502"/>
    </row>
    <row r="275" spans="1:4" ht="12.75" x14ac:dyDescent="0.2">
      <c r="A275" s="502"/>
      <c r="B275" s="505" t="s">
        <v>760</v>
      </c>
      <c r="C275" s="505" t="s">
        <v>1170</v>
      </c>
      <c r="D275" s="502"/>
    </row>
    <row r="276" spans="1:4" ht="12.75" x14ac:dyDescent="0.2">
      <c r="A276" s="502"/>
      <c r="B276" s="505" t="s">
        <v>761</v>
      </c>
      <c r="C276" s="505" t="s">
        <v>1170</v>
      </c>
      <c r="D276" s="502"/>
    </row>
    <row r="277" spans="1:4" ht="12.75" x14ac:dyDescent="0.2">
      <c r="A277" s="502"/>
      <c r="B277" s="505" t="s">
        <v>762</v>
      </c>
      <c r="C277" s="505" t="s">
        <v>1170</v>
      </c>
      <c r="D277" s="502"/>
    </row>
    <row r="278" spans="1:4" ht="12.75" x14ac:dyDescent="0.2">
      <c r="A278" s="502"/>
      <c r="B278" s="505" t="s">
        <v>763</v>
      </c>
      <c r="C278" s="505" t="s">
        <v>1170</v>
      </c>
      <c r="D278" s="502"/>
    </row>
    <row r="279" spans="1:4" ht="12.75" x14ac:dyDescent="0.2">
      <c r="A279" s="502"/>
      <c r="B279" s="505" t="s">
        <v>764</v>
      </c>
      <c r="C279" s="505" t="s">
        <v>1170</v>
      </c>
      <c r="D279" s="502"/>
    </row>
    <row r="280" spans="1:4" ht="12.75" x14ac:dyDescent="0.2">
      <c r="A280" s="502"/>
      <c r="B280" s="505" t="s">
        <v>765</v>
      </c>
      <c r="C280" s="505" t="s">
        <v>1170</v>
      </c>
      <c r="D280" s="502"/>
    </row>
    <row r="281" spans="1:4" ht="12.75" x14ac:dyDescent="0.2">
      <c r="A281" s="502"/>
      <c r="B281" s="505" t="s">
        <v>766</v>
      </c>
      <c r="C281" s="505" t="s">
        <v>1170</v>
      </c>
      <c r="D281" s="502"/>
    </row>
    <row r="282" spans="1:4" ht="12.75" x14ac:dyDescent="0.2">
      <c r="A282" s="502"/>
      <c r="B282" s="505" t="s">
        <v>1171</v>
      </c>
      <c r="C282" s="505" t="s">
        <v>1170</v>
      </c>
      <c r="D282" s="502"/>
    </row>
    <row r="283" spans="1:4" ht="12.75" x14ac:dyDescent="0.2">
      <c r="A283" s="502"/>
      <c r="B283" s="505" t="s">
        <v>767</v>
      </c>
      <c r="C283" s="505" t="s">
        <v>1170</v>
      </c>
      <c r="D283" s="502"/>
    </row>
    <row r="284" spans="1:4" ht="12.75" x14ac:dyDescent="0.2">
      <c r="A284" s="502"/>
      <c r="B284" s="505" t="s">
        <v>768</v>
      </c>
      <c r="C284" s="505" t="s">
        <v>1170</v>
      </c>
      <c r="D284" s="502"/>
    </row>
    <row r="285" spans="1:4" ht="12.75" x14ac:dyDescent="0.2">
      <c r="A285" s="502"/>
      <c r="B285" s="505" t="s">
        <v>769</v>
      </c>
      <c r="C285" s="505" t="s">
        <v>1170</v>
      </c>
      <c r="D285" s="502"/>
    </row>
    <row r="286" spans="1:4" ht="12.75" x14ac:dyDescent="0.2">
      <c r="A286" s="502"/>
      <c r="B286" s="505" t="s">
        <v>596</v>
      </c>
      <c r="C286" s="505" t="s">
        <v>1170</v>
      </c>
      <c r="D286" s="502"/>
    </row>
    <row r="287" spans="1:4" ht="12.75" x14ac:dyDescent="0.2">
      <c r="A287" s="502"/>
      <c r="B287" s="502"/>
      <c r="C287" s="502"/>
      <c r="D287" s="502"/>
    </row>
    <row r="288" spans="1:4" ht="12.75" x14ac:dyDescent="0.2">
      <c r="A288" s="502"/>
      <c r="B288" s="502"/>
      <c r="D288" s="502"/>
    </row>
    <row r="289" spans="1:4" ht="12.75" x14ac:dyDescent="0.2">
      <c r="A289" s="502"/>
      <c r="B289" s="502"/>
      <c r="D289" s="502"/>
    </row>
    <row r="290" spans="1:4" ht="12.75" x14ac:dyDescent="0.2">
      <c r="A290" s="502"/>
      <c r="B290" s="502"/>
      <c r="D290" s="502"/>
    </row>
    <row r="291" spans="1:4" ht="12.75" x14ac:dyDescent="0.2">
      <c r="A291" s="502"/>
      <c r="B291" s="502"/>
      <c r="D291" s="502"/>
    </row>
    <row r="292" spans="1:4" ht="12.75" x14ac:dyDescent="0.2">
      <c r="A292" s="502"/>
      <c r="B292" s="502"/>
      <c r="D292" s="502"/>
    </row>
    <row r="293" spans="1:4" ht="12.75" x14ac:dyDescent="0.2">
      <c r="A293" s="502"/>
      <c r="B293" s="502"/>
      <c r="D293" s="502"/>
    </row>
    <row r="294" spans="1:4" ht="12.75" x14ac:dyDescent="0.2">
      <c r="A294" s="502"/>
      <c r="B294" s="502"/>
      <c r="D294" s="502"/>
    </row>
    <row r="295" spans="1:4" ht="12.75" x14ac:dyDescent="0.2">
      <c r="A295" s="502"/>
      <c r="B295" s="502"/>
      <c r="D295" s="502"/>
    </row>
    <row r="296" spans="1:4" ht="12.75" x14ac:dyDescent="0.2">
      <c r="A296" s="502"/>
      <c r="B296" s="502"/>
      <c r="D296" s="502"/>
    </row>
    <row r="297" spans="1:4" ht="12.75" x14ac:dyDescent="0.2">
      <c r="A297" s="502"/>
      <c r="B297" s="502"/>
      <c r="D297" s="502"/>
    </row>
    <row r="298" spans="1:4" ht="12.75" x14ac:dyDescent="0.2">
      <c r="A298" s="502"/>
      <c r="B298" s="502"/>
      <c r="D298" s="502"/>
    </row>
    <row r="299" spans="1:4" ht="12.75" x14ac:dyDescent="0.2">
      <c r="A299" s="502"/>
      <c r="B299" s="502"/>
      <c r="D299" s="502"/>
    </row>
    <row r="300" spans="1:4" ht="12.75" x14ac:dyDescent="0.2">
      <c r="A300" s="502"/>
      <c r="B300" s="502"/>
      <c r="D300" s="502"/>
    </row>
    <row r="301" spans="1:4" ht="12.75" x14ac:dyDescent="0.2">
      <c r="A301" s="502"/>
      <c r="B301" s="502"/>
      <c r="D301" s="502"/>
    </row>
    <row r="302" spans="1:4" ht="12.75" x14ac:dyDescent="0.2">
      <c r="A302" s="502"/>
      <c r="B302" s="502"/>
      <c r="D302" s="502"/>
    </row>
    <row r="303" spans="1:4" ht="12.75" x14ac:dyDescent="0.2">
      <c r="A303" s="502"/>
      <c r="B303" s="502"/>
      <c r="D303" s="502"/>
    </row>
    <row r="304" spans="1:4" ht="12.75" x14ac:dyDescent="0.2">
      <c r="A304" s="502"/>
      <c r="B304" s="502"/>
      <c r="D304" s="502"/>
    </row>
    <row r="305" spans="1:4" ht="12.75" x14ac:dyDescent="0.2">
      <c r="A305" s="502"/>
      <c r="B305" s="502"/>
      <c r="D305" s="502"/>
    </row>
    <row r="306" spans="1:4" ht="12.75" x14ac:dyDescent="0.2">
      <c r="A306" s="502"/>
      <c r="B306" s="502"/>
      <c r="D306" s="502"/>
    </row>
    <row r="307" spans="1:4" ht="12.75" x14ac:dyDescent="0.2">
      <c r="A307" s="502"/>
      <c r="B307" s="502"/>
      <c r="D307" s="502"/>
    </row>
    <row r="308" spans="1:4" x14ac:dyDescent="0.2">
      <c r="B308" s="488">
        <f>COUNTA(B30:B307)</f>
        <v>257</v>
      </c>
    </row>
  </sheetData>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1">
    <tabColor rgb="FF99CCFF"/>
    <pageSetUpPr fitToPage="1"/>
  </sheetPr>
  <dimension ref="A1:K46"/>
  <sheetViews>
    <sheetView showGridLines="0" zoomScaleNormal="100" workbookViewId="0">
      <pane xSplit="1" ySplit="3" topLeftCell="B18" activePane="bottomRight" state="frozen"/>
      <selection activeCell="O17" sqref="O17"/>
      <selection pane="topRight" activeCell="O17" sqref="O17"/>
      <selection pane="bottomLeft" activeCell="O17" sqref="O17"/>
      <selection pane="bottomRight" activeCell="H28" sqref="H28"/>
    </sheetView>
  </sheetViews>
  <sheetFormatPr defaultColWidth="9.140625" defaultRowHeight="12.75" x14ac:dyDescent="0.25"/>
  <cols>
    <col min="1" max="1" width="34.28515625" style="17" customWidth="1"/>
    <col min="2" max="11" width="8.7109375" style="17" customWidth="1"/>
    <col min="12" max="14" width="7.7109375" style="17" customWidth="1"/>
    <col min="15" max="16384" width="9.140625" style="17"/>
  </cols>
  <sheetData>
    <row r="1" spans="1:10" ht="13.5" x14ac:dyDescent="0.25">
      <c r="A1" s="88" t="str">
        <f>MEBsum</f>
        <v>Harry Gwala Development Agency (Pty) Ltd - Table D1 Budget Summary</v>
      </c>
    </row>
    <row r="2" spans="1:10" ht="31.5" customHeight="1" x14ac:dyDescent="0.25">
      <c r="A2" s="303" t="str">
        <f>desc</f>
        <v>Description</v>
      </c>
      <c r="B2" s="85" t="str">
        <f>head1b</f>
        <v>2015/16</v>
      </c>
      <c r="C2" s="18" t="str">
        <f>head1A</f>
        <v>2016/17</v>
      </c>
      <c r="D2" s="80" t="str">
        <f>Head1</f>
        <v>2017/18</v>
      </c>
      <c r="E2" s="106" t="str">
        <f>Head2</f>
        <v>Current Year 2018/19</v>
      </c>
      <c r="F2" s="104"/>
      <c r="G2" s="105"/>
      <c r="H2" s="106" t="str">
        <f>Head3a</f>
        <v>Medium Term Revenue and Expenditure Framework</v>
      </c>
      <c r="I2" s="104"/>
      <c r="J2" s="105"/>
    </row>
    <row r="3" spans="1:10" ht="36" customHeight="1" x14ac:dyDescent="0.25">
      <c r="A3" s="305" t="s">
        <v>186</v>
      </c>
      <c r="B3" s="101" t="str">
        <f>Head5</f>
        <v>Audited Outcome</v>
      </c>
      <c r="C3" s="79" t="str">
        <f>Head5</f>
        <v>Audited Outcome</v>
      </c>
      <c r="D3" s="300" t="str">
        <f>Head5</f>
        <v>Audited Outcome</v>
      </c>
      <c r="E3" s="299" t="str">
        <f>Head6</f>
        <v>Original Budget</v>
      </c>
      <c r="F3" s="102" t="str">
        <f>Head7</f>
        <v>Adjusted Budget</v>
      </c>
      <c r="G3" s="300" t="str">
        <f>Head8</f>
        <v>Full Year Forecast</v>
      </c>
      <c r="H3" s="299" t="str">
        <f>Head9</f>
        <v>Budget Year 2019/20</v>
      </c>
      <c r="I3" s="102" t="str">
        <f>Head10</f>
        <v>Budget Year +1 2020/21</v>
      </c>
      <c r="J3" s="300" t="str">
        <f>Head11</f>
        <v>Budget Year +2 2021/22</v>
      </c>
    </row>
    <row r="4" spans="1:10" ht="12.75" customHeight="1" x14ac:dyDescent="0.25">
      <c r="A4" s="208" t="s">
        <v>247</v>
      </c>
      <c r="B4" s="49"/>
      <c r="C4" s="48"/>
      <c r="D4" s="100"/>
      <c r="E4" s="49"/>
      <c r="F4" s="48"/>
      <c r="G4" s="100"/>
      <c r="H4" s="49"/>
      <c r="I4" s="48"/>
      <c r="J4" s="100"/>
    </row>
    <row r="5" spans="1:10" ht="12.75" customHeight="1" x14ac:dyDescent="0.25">
      <c r="A5" s="227" t="s">
        <v>363</v>
      </c>
      <c r="B5" s="24">
        <f>'D2-FinPerf'!C5</f>
        <v>0</v>
      </c>
      <c r="C5" s="23">
        <f>'D2-FinPerf'!D5</f>
        <v>0</v>
      </c>
      <c r="D5" s="83">
        <f>'D2-FinPerf'!E5</f>
        <v>0</v>
      </c>
      <c r="E5" s="24">
        <f>'D2-FinPerf'!F5</f>
        <v>0</v>
      </c>
      <c r="F5" s="23">
        <f>'D2-FinPerf'!G5</f>
        <v>0</v>
      </c>
      <c r="G5" s="83">
        <f>'D2-FinPerf'!H5</f>
        <v>0</v>
      </c>
      <c r="H5" s="24">
        <f>'D2-FinPerf'!I5</f>
        <v>0</v>
      </c>
      <c r="I5" s="23">
        <f>'D2-FinPerf'!J5</f>
        <v>0</v>
      </c>
      <c r="J5" s="83">
        <f>'D2-FinPerf'!K5</f>
        <v>0</v>
      </c>
    </row>
    <row r="6" spans="1:10" ht="12.75" customHeight="1" x14ac:dyDescent="0.25">
      <c r="A6" s="227" t="s">
        <v>407</v>
      </c>
      <c r="B6" s="24">
        <f>SUM('D2-FinPerf'!C6:C9)</f>
        <v>0</v>
      </c>
      <c r="C6" s="23">
        <f>SUM('D2-FinPerf'!D6:D9)</f>
        <v>0</v>
      </c>
      <c r="D6" s="83">
        <f>SUM('D2-FinPerf'!E6:E9)</f>
        <v>0</v>
      </c>
      <c r="E6" s="24">
        <f>SUM('D2-FinPerf'!F6:F9)</f>
        <v>0</v>
      </c>
      <c r="F6" s="23">
        <f>SUM('D2-FinPerf'!G6:G9)</f>
        <v>0</v>
      </c>
      <c r="G6" s="83">
        <f>SUM('D2-FinPerf'!H6:H9)</f>
        <v>0</v>
      </c>
      <c r="H6" s="24">
        <f>SUM('D2-FinPerf'!I6:I9)</f>
        <v>0</v>
      </c>
      <c r="I6" s="23">
        <f>SUM('D2-FinPerf'!J6:J9)</f>
        <v>0</v>
      </c>
      <c r="J6" s="83">
        <f>SUM('D2-FinPerf'!K6:K9)</f>
        <v>0</v>
      </c>
    </row>
    <row r="7" spans="1:10" ht="12.75" customHeight="1" x14ac:dyDescent="0.25">
      <c r="A7" s="227" t="s">
        <v>54</v>
      </c>
      <c r="B7" s="24">
        <f>'D2-FinPerf'!C12</f>
        <v>293364</v>
      </c>
      <c r="C7" s="23">
        <f>'D2-FinPerf'!D12</f>
        <v>600000</v>
      </c>
      <c r="D7" s="83">
        <f>'D2-FinPerf'!E12</f>
        <v>730957</v>
      </c>
      <c r="E7" s="24">
        <f>'D2-FinPerf'!F12</f>
        <v>300000</v>
      </c>
      <c r="F7" s="23">
        <f>'D2-FinPerf'!G12</f>
        <v>620000</v>
      </c>
      <c r="G7" s="83">
        <f>'D2-FinPerf'!H12</f>
        <v>620000</v>
      </c>
      <c r="H7" s="24">
        <f>'D2-FinPerf'!I12</f>
        <v>683000</v>
      </c>
      <c r="I7" s="23">
        <f>'D2-FinPerf'!J12</f>
        <v>717150</v>
      </c>
      <c r="J7" s="83">
        <f>'D2-FinPerf'!K12</f>
        <v>753007.5</v>
      </c>
    </row>
    <row r="8" spans="1:10" ht="12.75" customHeight="1" x14ac:dyDescent="0.25">
      <c r="A8" s="227" t="s">
        <v>980</v>
      </c>
      <c r="B8" s="23">
        <f>'D2-FinPerf'!C18+'D2-FinPerf'!C38</f>
        <v>29564676</v>
      </c>
      <c r="C8" s="23">
        <f>'D2-FinPerf'!D18+'D2-FinPerf'!D38</f>
        <v>17333333</v>
      </c>
      <c r="D8" s="83">
        <f>'D2-FinPerf'!E18+'D2-FinPerf'!E38</f>
        <v>8000000</v>
      </c>
      <c r="E8" s="24">
        <f>'D2-FinPerf'!F18+'D2-FinPerf'!F38</f>
        <v>15000000</v>
      </c>
      <c r="F8" s="23">
        <f>'D2-FinPerf'!G18+'D2-FinPerf'!G38</f>
        <v>17000000</v>
      </c>
      <c r="G8" s="83">
        <f>'D2-FinPerf'!H18+'D2-FinPerf'!H38</f>
        <v>17000000</v>
      </c>
      <c r="H8" s="24">
        <f>'D2-FinPerf'!I18+'D2-FinPerf'!I38</f>
        <v>15000000</v>
      </c>
      <c r="I8" s="23">
        <f>'D2-FinPerf'!J18+'D2-FinPerf'!J38</f>
        <v>17000000</v>
      </c>
      <c r="J8" s="83">
        <f>'D2-FinPerf'!K18+'D2-FinPerf'!K38</f>
        <v>20000000</v>
      </c>
    </row>
    <row r="9" spans="1:10" ht="12.75" customHeight="1" x14ac:dyDescent="0.25">
      <c r="A9" s="227" t="s">
        <v>52</v>
      </c>
      <c r="B9" s="24">
        <f>'D2-FinPerf'!C11+'D2-FinPerf'!C13+'D2-FinPerf'!C14+'D2-FinPerf'!C15+'D2-FinPerf'!C16+'D2-FinPerf'!C17+'D2-FinPerf'!C19+'D2-FinPerf'!C20</f>
        <v>41027</v>
      </c>
      <c r="C9" s="23">
        <f>'D2-FinPerf'!D11+'D2-FinPerf'!D13+'D2-FinPerf'!D14+'D2-FinPerf'!D15+'D2-FinPerf'!D16+'D2-FinPerf'!D17+'D2-FinPerf'!D19+'D2-FinPerf'!D20</f>
        <v>5000</v>
      </c>
      <c r="D9" s="83">
        <f>'D2-FinPerf'!E11+'D2-FinPerf'!E13+'D2-FinPerf'!E14+'D2-FinPerf'!E15+'D2-FinPerf'!E16+'D2-FinPerf'!E17+'D2-FinPerf'!E19+'D2-FinPerf'!E20</f>
        <v>41389</v>
      </c>
      <c r="E9" s="24">
        <f>'D2-FinPerf'!F11+'D2-FinPerf'!F13+'D2-FinPerf'!F14+'D2-FinPerf'!F15+'D2-FinPerf'!F16+'D2-FinPerf'!F17+'D2-FinPerf'!F19+'D2-FinPerf'!F20</f>
        <v>7500</v>
      </c>
      <c r="F9" s="23">
        <f>'D2-FinPerf'!G11+'D2-FinPerf'!G13+'D2-FinPerf'!G14+'D2-FinPerf'!G15+'D2-FinPerf'!G16+'D2-FinPerf'!G17+'D2-FinPerf'!G19+'D2-FinPerf'!G20</f>
        <v>15000</v>
      </c>
      <c r="G9" s="83">
        <f>'D2-FinPerf'!H11+'D2-FinPerf'!H13+'D2-FinPerf'!H14+'D2-FinPerf'!H15+'D2-FinPerf'!H16+'D2-FinPerf'!H17+'D2-FinPerf'!H19+'D2-FinPerf'!H20</f>
        <v>15000</v>
      </c>
      <c r="H9" s="24">
        <f>'D2-FinPerf'!I11+'D2-FinPerf'!I13+'D2-FinPerf'!I14+'D2-FinPerf'!I15+'D2-FinPerf'!I16+'D2-FinPerf'!I17+'D2-FinPerf'!I19+'D2-FinPerf'!I20</f>
        <v>17500</v>
      </c>
      <c r="I9" s="23">
        <f>'D2-FinPerf'!J11+'D2-FinPerf'!J13+'D2-FinPerf'!J14+'D2-FinPerf'!J15+'D2-FinPerf'!J16+'D2-FinPerf'!J17+'D2-FinPerf'!J19+'D2-FinPerf'!J20</f>
        <v>18375</v>
      </c>
      <c r="J9" s="83">
        <f>'D2-FinPerf'!K11+'D2-FinPerf'!K13+'D2-FinPerf'!K14+'D2-FinPerf'!K15+'D2-FinPerf'!K16+'D2-FinPerf'!K17+'D2-FinPerf'!K19+'D2-FinPerf'!K20</f>
        <v>19293.75</v>
      </c>
    </row>
    <row r="10" spans="1:10" ht="25.5" customHeight="1" x14ac:dyDescent="0.25">
      <c r="A10" s="329" t="s">
        <v>499</v>
      </c>
      <c r="B10" s="224">
        <f>SUM(B5:B9)</f>
        <v>29899067</v>
      </c>
      <c r="C10" s="225">
        <f t="shared" ref="C10:J10" si="0">SUM(C5:C9)</f>
        <v>17938333</v>
      </c>
      <c r="D10" s="226">
        <f t="shared" si="0"/>
        <v>8772346</v>
      </c>
      <c r="E10" s="224">
        <f t="shared" si="0"/>
        <v>15307500</v>
      </c>
      <c r="F10" s="225">
        <f t="shared" si="0"/>
        <v>17635000</v>
      </c>
      <c r="G10" s="226">
        <f t="shared" si="0"/>
        <v>17635000</v>
      </c>
      <c r="H10" s="224">
        <f t="shared" si="0"/>
        <v>15700500</v>
      </c>
      <c r="I10" s="225">
        <f t="shared" si="0"/>
        <v>17735525</v>
      </c>
      <c r="J10" s="226">
        <f t="shared" si="0"/>
        <v>20772301.25</v>
      </c>
    </row>
    <row r="11" spans="1:10" ht="12.75" customHeight="1" x14ac:dyDescent="0.25">
      <c r="A11" s="227" t="s">
        <v>35</v>
      </c>
      <c r="B11" s="24">
        <f>'D2-FinPerf'!C24</f>
        <v>6440720</v>
      </c>
      <c r="C11" s="23">
        <f>'D2-FinPerf'!D24</f>
        <v>8976754</v>
      </c>
      <c r="D11" s="83">
        <f>'D2-FinPerf'!E24</f>
        <v>8780043</v>
      </c>
      <c r="E11" s="24">
        <f>'D2-FinPerf'!F24</f>
        <v>5429709</v>
      </c>
      <c r="F11" s="23">
        <f>'D2-FinPerf'!G24</f>
        <v>6524199</v>
      </c>
      <c r="G11" s="83">
        <f>'D2-FinPerf'!H24</f>
        <v>6524199</v>
      </c>
      <c r="H11" s="24">
        <f>'D2-FinPerf'!I24</f>
        <v>7631500</v>
      </c>
      <c r="I11" s="23">
        <f>'D2-FinPerf'!J24</f>
        <v>8013075</v>
      </c>
      <c r="J11" s="83">
        <f>'D2-FinPerf'!K24</f>
        <v>8413728.75</v>
      </c>
    </row>
    <row r="12" spans="1:10" ht="12.75" customHeight="1" x14ac:dyDescent="0.25">
      <c r="A12" s="227" t="s">
        <v>981</v>
      </c>
      <c r="B12" s="24">
        <f>'D2-FinPerf'!C25</f>
        <v>502071</v>
      </c>
      <c r="C12" s="23">
        <f>'D2-FinPerf'!D25</f>
        <v>350000</v>
      </c>
      <c r="D12" s="83">
        <f>'D2-FinPerf'!E25</f>
        <v>279506</v>
      </c>
      <c r="E12" s="24">
        <f>'D2-FinPerf'!F25</f>
        <v>350000</v>
      </c>
      <c r="F12" s="23">
        <f>'D2-FinPerf'!G25</f>
        <v>400000</v>
      </c>
      <c r="G12" s="83">
        <f>'D2-FinPerf'!H25</f>
        <v>400000</v>
      </c>
      <c r="H12" s="24">
        <f>'D2-FinPerf'!I25</f>
        <v>400000</v>
      </c>
      <c r="I12" s="23">
        <f>'D2-FinPerf'!J25</f>
        <v>420000</v>
      </c>
      <c r="J12" s="83">
        <f>'D2-FinPerf'!K25</f>
        <v>441000</v>
      </c>
    </row>
    <row r="13" spans="1:10" ht="12.75" customHeight="1" x14ac:dyDescent="0.25">
      <c r="A13" s="227" t="s">
        <v>181</v>
      </c>
      <c r="B13" s="24">
        <f>'D2-FinPerf'!C27</f>
        <v>425506</v>
      </c>
      <c r="C13" s="23">
        <f>'D2-FinPerf'!D27</f>
        <v>960000</v>
      </c>
      <c r="D13" s="83">
        <f>'D2-FinPerf'!E27</f>
        <v>739042</v>
      </c>
      <c r="E13" s="24">
        <f>'D2-FinPerf'!F27</f>
        <v>800000</v>
      </c>
      <c r="F13" s="23">
        <f>'D2-FinPerf'!G27</f>
        <v>985000</v>
      </c>
      <c r="G13" s="83">
        <f>'D2-FinPerf'!H27</f>
        <v>985000</v>
      </c>
      <c r="H13" s="24">
        <f>'D2-FinPerf'!I27</f>
        <v>750000</v>
      </c>
      <c r="I13" s="23">
        <f>'D2-FinPerf'!J27</f>
        <v>787500</v>
      </c>
      <c r="J13" s="83">
        <f>'D2-FinPerf'!K27</f>
        <v>826875</v>
      </c>
    </row>
    <row r="14" spans="1:10" ht="12.75" customHeight="1" x14ac:dyDescent="0.25">
      <c r="A14" s="227" t="s">
        <v>19</v>
      </c>
      <c r="B14" s="24">
        <f>'D2-FinPerf'!C28</f>
        <v>6591</v>
      </c>
      <c r="C14" s="23">
        <f>'D2-FinPerf'!D28</f>
        <v>9000</v>
      </c>
      <c r="D14" s="83">
        <f>'D2-FinPerf'!E28</f>
        <v>2449</v>
      </c>
      <c r="E14" s="24">
        <f>'D2-FinPerf'!F28</f>
        <v>9000</v>
      </c>
      <c r="F14" s="23">
        <f>'D2-FinPerf'!G28</f>
        <v>9000</v>
      </c>
      <c r="G14" s="83">
        <f>'D2-FinPerf'!H28</f>
        <v>9000</v>
      </c>
      <c r="H14" s="24">
        <f>'D2-FinPerf'!I28</f>
        <v>12000</v>
      </c>
      <c r="I14" s="23">
        <f>'D2-FinPerf'!J28</f>
        <v>12600</v>
      </c>
      <c r="J14" s="83">
        <f>'D2-FinPerf'!K28</f>
        <v>13230</v>
      </c>
    </row>
    <row r="15" spans="1:10" ht="12.75" customHeight="1" x14ac:dyDescent="0.25">
      <c r="A15" s="227" t="s">
        <v>53</v>
      </c>
      <c r="B15" s="24">
        <f>'D2-FinPerf'!C29+'D2-FinPerf'!C30</f>
        <v>0</v>
      </c>
      <c r="C15" s="23">
        <f>'D2-FinPerf'!D29+'D2-FinPerf'!D30</f>
        <v>0</v>
      </c>
      <c r="D15" s="83">
        <f>'D2-FinPerf'!E29+'D2-FinPerf'!E30</f>
        <v>0</v>
      </c>
      <c r="E15" s="24">
        <f>'D2-FinPerf'!F29+'D2-FinPerf'!F30</f>
        <v>0</v>
      </c>
      <c r="F15" s="23">
        <f>'D2-FinPerf'!G29+'D2-FinPerf'!G30</f>
        <v>0</v>
      </c>
      <c r="G15" s="83">
        <f>'D2-FinPerf'!H29+'D2-FinPerf'!H30</f>
        <v>0</v>
      </c>
      <c r="H15" s="24">
        <f>'D2-FinPerf'!I29+'D2-FinPerf'!I30</f>
        <v>0</v>
      </c>
      <c r="I15" s="23">
        <f>'D2-FinPerf'!J29+'D2-FinPerf'!J30</f>
        <v>0</v>
      </c>
      <c r="J15" s="83">
        <f>'D2-FinPerf'!K29+'D2-FinPerf'!K30</f>
        <v>0</v>
      </c>
    </row>
    <row r="16" spans="1:10" ht="12.75" customHeight="1" x14ac:dyDescent="0.25">
      <c r="A16" s="227" t="s">
        <v>982</v>
      </c>
      <c r="B16" s="24">
        <f>'D2-FinPerf'!C32</f>
        <v>0</v>
      </c>
      <c r="C16" s="23">
        <f>'D2-FinPerf'!D32</f>
        <v>0</v>
      </c>
      <c r="D16" s="83">
        <f>'D2-FinPerf'!E32</f>
        <v>0</v>
      </c>
      <c r="E16" s="24">
        <f>'D2-FinPerf'!F32</f>
        <v>0</v>
      </c>
      <c r="F16" s="23">
        <f>'D2-FinPerf'!G32</f>
        <v>0</v>
      </c>
      <c r="G16" s="83">
        <f>'D2-FinPerf'!H32</f>
        <v>0</v>
      </c>
      <c r="H16" s="24">
        <f>'D2-FinPerf'!I32</f>
        <v>0</v>
      </c>
      <c r="I16" s="23">
        <f>'D2-FinPerf'!J32</f>
        <v>0</v>
      </c>
      <c r="J16" s="83">
        <f>'D2-FinPerf'!K32</f>
        <v>0</v>
      </c>
    </row>
    <row r="17" spans="1:11" ht="12.75" customHeight="1" x14ac:dyDescent="0.25">
      <c r="A17" s="227" t="s">
        <v>6</v>
      </c>
      <c r="B17" s="24">
        <f>'D2-FinPerf'!C35-SUM('D1-Sum'!B11:B16)</f>
        <v>20561663</v>
      </c>
      <c r="C17" s="23">
        <f>'D2-FinPerf'!D35-SUM('D1-Sum'!C11:C16)</f>
        <v>7642627.1099999994</v>
      </c>
      <c r="D17" s="83">
        <f>'D2-FinPerf'!E35-SUM('D1-Sum'!D11:D16)</f>
        <v>5893683</v>
      </c>
      <c r="E17" s="24">
        <f>'D2-FinPerf'!F35-SUM('D1-Sum'!E11:E16)</f>
        <v>8719000</v>
      </c>
      <c r="F17" s="23">
        <f>'D2-FinPerf'!G35-SUM('D1-Sum'!F11:F16)</f>
        <v>9716500</v>
      </c>
      <c r="G17" s="83">
        <f>'D2-FinPerf'!H35-SUM('D1-Sum'!G11:G16)</f>
        <v>9716500</v>
      </c>
      <c r="H17" s="24">
        <f>'D2-FinPerf'!I35-SUM('D1-Sum'!H11:H16)</f>
        <v>6907000</v>
      </c>
      <c r="I17" s="23">
        <f>'D2-FinPerf'!J35-SUM('D1-Sum'!I11:I16)</f>
        <v>8502350</v>
      </c>
      <c r="J17" s="83">
        <f>'D2-FinPerf'!K35-SUM('D1-Sum'!J11:J16)</f>
        <v>11077467.5</v>
      </c>
    </row>
    <row r="18" spans="1:11" ht="12.75" customHeight="1" x14ac:dyDescent="0.25">
      <c r="A18" s="228" t="s">
        <v>47</v>
      </c>
      <c r="B18" s="39">
        <f>SUM(B11:B17)</f>
        <v>27936551</v>
      </c>
      <c r="C18" s="38">
        <f t="shared" ref="C18:J18" si="1">SUM(C11:C17)</f>
        <v>17938381.109999999</v>
      </c>
      <c r="D18" s="84">
        <f t="shared" si="1"/>
        <v>15694723</v>
      </c>
      <c r="E18" s="39">
        <f t="shared" si="1"/>
        <v>15307709</v>
      </c>
      <c r="F18" s="38">
        <f t="shared" si="1"/>
        <v>17634699</v>
      </c>
      <c r="G18" s="84">
        <f t="shared" si="1"/>
        <v>17634699</v>
      </c>
      <c r="H18" s="39">
        <f t="shared" si="1"/>
        <v>15700500</v>
      </c>
      <c r="I18" s="38">
        <f t="shared" si="1"/>
        <v>17735525</v>
      </c>
      <c r="J18" s="84">
        <f t="shared" si="1"/>
        <v>20772301.25</v>
      </c>
    </row>
    <row r="19" spans="1:11" ht="12.75" customHeight="1" x14ac:dyDescent="0.25">
      <c r="A19" s="229" t="s">
        <v>48</v>
      </c>
      <c r="B19" s="27">
        <f>B10-B18</f>
        <v>1962516</v>
      </c>
      <c r="C19" s="26">
        <f t="shared" ref="C19:J19" si="2">C10-C18</f>
        <v>-48.109999999403954</v>
      </c>
      <c r="D19" s="99">
        <f t="shared" si="2"/>
        <v>-6922377</v>
      </c>
      <c r="E19" s="27">
        <f t="shared" si="2"/>
        <v>-209</v>
      </c>
      <c r="F19" s="26">
        <f t="shared" si="2"/>
        <v>301</v>
      </c>
      <c r="G19" s="99">
        <f t="shared" si="2"/>
        <v>301</v>
      </c>
      <c r="H19" s="27">
        <f t="shared" si="2"/>
        <v>0</v>
      </c>
      <c r="I19" s="26">
        <f t="shared" si="2"/>
        <v>0</v>
      </c>
      <c r="J19" s="99">
        <f t="shared" si="2"/>
        <v>0</v>
      </c>
    </row>
    <row r="20" spans="1:11" ht="12.75" customHeight="1" x14ac:dyDescent="0.25">
      <c r="A20" s="227" t="s">
        <v>855</v>
      </c>
      <c r="B20" s="24">
        <f>SUM('D2-FinPerf'!C38:C40)</f>
        <v>0</v>
      </c>
      <c r="C20" s="23">
        <f>SUM('D2-FinPerf'!D38:D40)</f>
        <v>0</v>
      </c>
      <c r="D20" s="83">
        <f>SUM('D2-FinPerf'!E38:E40)</f>
        <v>0</v>
      </c>
      <c r="E20" s="24">
        <f>SUM('D2-FinPerf'!F38:F40)</f>
        <v>0</v>
      </c>
      <c r="F20" s="23">
        <f>SUM('D2-FinPerf'!G38:G40)</f>
        <v>0</v>
      </c>
      <c r="G20" s="83">
        <f>SUM('D2-FinPerf'!H38:H40)</f>
        <v>0</v>
      </c>
      <c r="H20" s="24">
        <f>SUM('D2-FinPerf'!I38:I40)</f>
        <v>0</v>
      </c>
      <c r="I20" s="23">
        <f>SUM('D2-FinPerf'!J38:J40)</f>
        <v>0</v>
      </c>
      <c r="J20" s="83">
        <f>SUM('D2-FinPerf'!K38:K40)</f>
        <v>0</v>
      </c>
    </row>
    <row r="21" spans="1:11" x14ac:dyDescent="0.25">
      <c r="A21" s="227" t="s">
        <v>528</v>
      </c>
      <c r="B21" s="24">
        <f>'D2-FinPerf'!C39+'D2-FinPerf'!C40</f>
        <v>0</v>
      </c>
      <c r="C21" s="23">
        <f>'D2-FinPerf'!D39+'D2-FinPerf'!D40</f>
        <v>0</v>
      </c>
      <c r="D21" s="83">
        <f>'D2-FinPerf'!E39+'D2-FinPerf'!E40</f>
        <v>0</v>
      </c>
      <c r="E21" s="24">
        <f>'D2-FinPerf'!F39+'D2-FinPerf'!F40</f>
        <v>0</v>
      </c>
      <c r="F21" s="23">
        <f>'D2-FinPerf'!G39+'D2-FinPerf'!G40</f>
        <v>0</v>
      </c>
      <c r="G21" s="83">
        <f>'D2-FinPerf'!H39+'D2-FinPerf'!H40</f>
        <v>0</v>
      </c>
      <c r="H21" s="24">
        <f>'D2-FinPerf'!I39+'D2-FinPerf'!I40</f>
        <v>0</v>
      </c>
      <c r="I21" s="23">
        <f>'D2-FinPerf'!J39+'D2-FinPerf'!J40</f>
        <v>0</v>
      </c>
      <c r="J21" s="83">
        <f>'D2-FinPerf'!K39+'D2-FinPerf'!K40</f>
        <v>0</v>
      </c>
    </row>
    <row r="22" spans="1:11" ht="27.75" customHeight="1" x14ac:dyDescent="0.25">
      <c r="A22" s="298" t="s">
        <v>529</v>
      </c>
      <c r="B22" s="313">
        <f>B19+B20+B21</f>
        <v>1962516</v>
      </c>
      <c r="C22" s="314">
        <f t="shared" ref="C22:J22" si="3">C19+C20+C21</f>
        <v>-48.109999999403954</v>
      </c>
      <c r="D22" s="315">
        <f t="shared" si="3"/>
        <v>-6922377</v>
      </c>
      <c r="E22" s="313">
        <f t="shared" si="3"/>
        <v>-209</v>
      </c>
      <c r="F22" s="314">
        <f t="shared" si="3"/>
        <v>301</v>
      </c>
      <c r="G22" s="315">
        <f t="shared" si="3"/>
        <v>301</v>
      </c>
      <c r="H22" s="313">
        <f t="shared" si="3"/>
        <v>0</v>
      </c>
      <c r="I22" s="314">
        <f t="shared" si="3"/>
        <v>0</v>
      </c>
      <c r="J22" s="315">
        <f t="shared" si="3"/>
        <v>0</v>
      </c>
    </row>
    <row r="23" spans="1:11" ht="12.75" customHeight="1" x14ac:dyDescent="0.25">
      <c r="A23" s="471" t="s">
        <v>30</v>
      </c>
      <c r="B23" s="24">
        <f>'D2-FinPerf'!C42</f>
        <v>0</v>
      </c>
      <c r="C23" s="23">
        <f>'D2-FinPerf'!D42</f>
        <v>0</v>
      </c>
      <c r="D23" s="83">
        <f>'D2-FinPerf'!E42</f>
        <v>0</v>
      </c>
      <c r="E23" s="24">
        <f>'D2-FinPerf'!F42</f>
        <v>0</v>
      </c>
      <c r="F23" s="23">
        <f>'D2-FinPerf'!G42</f>
        <v>0</v>
      </c>
      <c r="G23" s="83">
        <f>'D2-FinPerf'!H42</f>
        <v>0</v>
      </c>
      <c r="H23" s="24">
        <f>'D2-FinPerf'!I42</f>
        <v>0</v>
      </c>
      <c r="I23" s="23">
        <f>'D2-FinPerf'!J42</f>
        <v>0</v>
      </c>
      <c r="J23" s="83">
        <f>'D2-FinPerf'!K42</f>
        <v>0</v>
      </c>
    </row>
    <row r="24" spans="1:11" ht="12.75" customHeight="1" x14ac:dyDescent="0.25">
      <c r="A24" s="209" t="s">
        <v>339</v>
      </c>
      <c r="B24" s="153">
        <f>B22-B23</f>
        <v>1962516</v>
      </c>
      <c r="C24" s="154">
        <f t="shared" ref="C24:J24" si="4">C22-C23</f>
        <v>-48.109999999403954</v>
      </c>
      <c r="D24" s="155">
        <f t="shared" si="4"/>
        <v>-6922377</v>
      </c>
      <c r="E24" s="153">
        <f t="shared" si="4"/>
        <v>-209</v>
      </c>
      <c r="F24" s="154">
        <f t="shared" si="4"/>
        <v>301</v>
      </c>
      <c r="G24" s="155">
        <f t="shared" si="4"/>
        <v>301</v>
      </c>
      <c r="H24" s="153">
        <f t="shared" si="4"/>
        <v>0</v>
      </c>
      <c r="I24" s="154">
        <f t="shared" si="4"/>
        <v>0</v>
      </c>
      <c r="J24" s="155">
        <f t="shared" si="4"/>
        <v>0</v>
      </c>
    </row>
    <row r="25" spans="1:11" ht="5.0999999999999996" customHeight="1" x14ac:dyDescent="0.25">
      <c r="A25" s="210"/>
      <c r="B25" s="55"/>
      <c r="C25" s="54"/>
      <c r="D25" s="98"/>
      <c r="E25" s="55"/>
      <c r="F25" s="54"/>
      <c r="G25" s="98"/>
      <c r="H25" s="55"/>
      <c r="I25" s="54"/>
      <c r="J25" s="98"/>
    </row>
    <row r="26" spans="1:11" ht="12.75" customHeight="1" x14ac:dyDescent="0.25">
      <c r="A26" s="211" t="s">
        <v>362</v>
      </c>
      <c r="B26" s="53"/>
      <c r="C26" s="52"/>
      <c r="D26" s="82"/>
      <c r="E26" s="53"/>
      <c r="F26" s="52"/>
      <c r="G26" s="82"/>
      <c r="H26" s="53"/>
      <c r="I26" s="52"/>
      <c r="J26" s="82"/>
    </row>
    <row r="27" spans="1:11" ht="12.75" customHeight="1" x14ac:dyDescent="0.25">
      <c r="A27" s="212" t="s">
        <v>117</v>
      </c>
      <c r="B27" s="27">
        <f>'D3-Capex'!C167</f>
        <v>4739919</v>
      </c>
      <c r="C27" s="26">
        <f>'D3-Capex'!D167</f>
        <v>5072747</v>
      </c>
      <c r="D27" s="99">
        <f>'D3-Capex'!E167</f>
        <v>4369154</v>
      </c>
      <c r="E27" s="27">
        <f>'D3-Capex'!F167</f>
        <v>497301</v>
      </c>
      <c r="F27" s="26">
        <f>'D3-Capex'!G167</f>
        <v>497301</v>
      </c>
      <c r="G27" s="99">
        <f>'D3-Capex'!H167</f>
        <v>497301</v>
      </c>
      <c r="H27" s="27">
        <f>'D3-Capex'!I167</f>
        <v>0</v>
      </c>
      <c r="I27" s="26">
        <f>'D3-Capex'!J167</f>
        <v>0</v>
      </c>
      <c r="J27" s="99">
        <f>'D3-Capex'!K167</f>
        <v>0</v>
      </c>
    </row>
    <row r="28" spans="1:11" ht="12.75" customHeight="1" x14ac:dyDescent="0.25">
      <c r="A28" s="330" t="s">
        <v>394</v>
      </c>
      <c r="B28" s="24">
        <f>'D3-Capex'!C174</f>
        <v>667861</v>
      </c>
      <c r="C28" s="23">
        <f>'D3-Capex'!D174</f>
        <v>1511000</v>
      </c>
      <c r="D28" s="83">
        <f>'D3-Capex'!E174</f>
        <v>441000</v>
      </c>
      <c r="E28" s="24">
        <f>'D3-Capex'!F174</f>
        <v>497301</v>
      </c>
      <c r="F28" s="23">
        <f>'D3-Capex'!G174</f>
        <v>497301</v>
      </c>
      <c r="G28" s="83">
        <f>'D3-Capex'!H174</f>
        <v>497301</v>
      </c>
      <c r="H28" s="24">
        <f>'D3-Capex'!I174</f>
        <v>0</v>
      </c>
      <c r="I28" s="23">
        <f>'D3-Capex'!J174</f>
        <v>0</v>
      </c>
      <c r="J28" s="83">
        <f>'D3-Capex'!K174</f>
        <v>0</v>
      </c>
      <c r="K28" s="86"/>
    </row>
    <row r="29" spans="1:11" ht="0.95" customHeight="1" x14ac:dyDescent="0.25">
      <c r="A29" s="20"/>
      <c r="B29" s="24"/>
      <c r="C29" s="23"/>
      <c r="D29" s="83"/>
      <c r="E29" s="24"/>
      <c r="F29" s="23"/>
      <c r="G29" s="83"/>
      <c r="H29" s="24"/>
      <c r="I29" s="23"/>
      <c r="J29" s="83"/>
      <c r="K29" s="86"/>
    </row>
    <row r="30" spans="1:11" ht="12.75" customHeight="1" x14ac:dyDescent="0.25">
      <c r="A30" s="20" t="s">
        <v>272</v>
      </c>
      <c r="B30" s="24">
        <f>'D3-Capex'!C176</f>
        <v>0</v>
      </c>
      <c r="C30" s="23">
        <f>'D3-Capex'!D176</f>
        <v>0</v>
      </c>
      <c r="D30" s="83">
        <f>'D3-Capex'!E176</f>
        <v>0</v>
      </c>
      <c r="E30" s="24">
        <f>'D3-Capex'!F176</f>
        <v>0</v>
      </c>
      <c r="F30" s="23">
        <f>'D3-Capex'!G176</f>
        <v>0</v>
      </c>
      <c r="G30" s="83">
        <f>'D3-Capex'!H176</f>
        <v>0</v>
      </c>
      <c r="H30" s="24">
        <f>'D3-Capex'!I176</f>
        <v>0</v>
      </c>
      <c r="I30" s="23">
        <f>'D3-Capex'!J176</f>
        <v>0</v>
      </c>
      <c r="J30" s="83">
        <f>'D3-Capex'!K176</f>
        <v>0</v>
      </c>
      <c r="K30" s="86"/>
    </row>
    <row r="31" spans="1:11" ht="12.75" customHeight="1" x14ac:dyDescent="0.25">
      <c r="A31" s="227" t="s">
        <v>34</v>
      </c>
      <c r="B31" s="24">
        <f>'D3-Capex'!C177</f>
        <v>0</v>
      </c>
      <c r="C31" s="23">
        <f>'D3-Capex'!D177</f>
        <v>0</v>
      </c>
      <c r="D31" s="83">
        <f>'D3-Capex'!E177</f>
        <v>0</v>
      </c>
      <c r="E31" s="24">
        <f>'D3-Capex'!F177</f>
        <v>0</v>
      </c>
      <c r="F31" s="23">
        <f>'D3-Capex'!G177</f>
        <v>0</v>
      </c>
      <c r="G31" s="83">
        <f>'D3-Capex'!H177</f>
        <v>0</v>
      </c>
      <c r="H31" s="24">
        <f>'D3-Capex'!I177</f>
        <v>0</v>
      </c>
      <c r="I31" s="23">
        <f>'D3-Capex'!J177</f>
        <v>0</v>
      </c>
      <c r="J31" s="83">
        <f>'D3-Capex'!K177</f>
        <v>0</v>
      </c>
      <c r="K31" s="86"/>
    </row>
    <row r="32" spans="1:11" ht="12.75" customHeight="1" x14ac:dyDescent="0.25">
      <c r="A32" s="45" t="s">
        <v>106</v>
      </c>
      <c r="B32" s="27">
        <f>+B28+B30+B31</f>
        <v>667861</v>
      </c>
      <c r="C32" s="26">
        <f t="shared" ref="C32:J32" si="5">+C28+C30+C31</f>
        <v>1511000</v>
      </c>
      <c r="D32" s="99">
        <f t="shared" si="5"/>
        <v>441000</v>
      </c>
      <c r="E32" s="27">
        <f t="shared" si="5"/>
        <v>497301</v>
      </c>
      <c r="F32" s="26">
        <f t="shared" si="5"/>
        <v>497301</v>
      </c>
      <c r="G32" s="99">
        <f t="shared" si="5"/>
        <v>497301</v>
      </c>
      <c r="H32" s="27">
        <f t="shared" si="5"/>
        <v>0</v>
      </c>
      <c r="I32" s="26">
        <f t="shared" si="5"/>
        <v>0</v>
      </c>
      <c r="J32" s="99">
        <f t="shared" si="5"/>
        <v>0</v>
      </c>
    </row>
    <row r="33" spans="1:10" ht="5.0999999999999996" customHeight="1" x14ac:dyDescent="0.25">
      <c r="A33" s="213"/>
      <c r="B33" s="55"/>
      <c r="C33" s="54"/>
      <c r="D33" s="98"/>
      <c r="E33" s="55"/>
      <c r="F33" s="54"/>
      <c r="G33" s="98"/>
      <c r="H33" s="55"/>
      <c r="I33" s="54"/>
      <c r="J33" s="98"/>
    </row>
    <row r="34" spans="1:10" ht="12.75" customHeight="1" x14ac:dyDescent="0.25">
      <c r="A34" s="211" t="s">
        <v>50</v>
      </c>
      <c r="B34" s="53"/>
      <c r="C34" s="52"/>
      <c r="D34" s="82"/>
      <c r="E34" s="53"/>
      <c r="F34" s="52"/>
      <c r="G34" s="82"/>
      <c r="H34" s="53"/>
      <c r="I34" s="52"/>
      <c r="J34" s="82"/>
    </row>
    <row r="35" spans="1:10" ht="12.75" customHeight="1" x14ac:dyDescent="0.25">
      <c r="A35" s="20" t="s">
        <v>153</v>
      </c>
      <c r="B35" s="24">
        <f>'D4-FinPos'!C12</f>
        <v>16452963</v>
      </c>
      <c r="C35" s="23">
        <f>'D4-FinPos'!D12</f>
        <v>19390026</v>
      </c>
      <c r="D35" s="83">
        <f>'D4-FinPos'!E12</f>
        <v>16023308</v>
      </c>
      <c r="E35" s="24">
        <f>'D4-FinPos'!F12</f>
        <v>14000</v>
      </c>
      <c r="F35" s="23">
        <f>'D4-FinPos'!G12</f>
        <v>14000</v>
      </c>
      <c r="G35" s="83">
        <f>'D4-FinPos'!H12</f>
        <v>14000</v>
      </c>
      <c r="H35" s="24">
        <f>'D4-FinPos'!I12</f>
        <v>12000</v>
      </c>
      <c r="I35" s="23">
        <f>'D4-FinPos'!J12</f>
        <v>12600</v>
      </c>
      <c r="J35" s="83">
        <f>'D4-FinPos'!K12</f>
        <v>13230</v>
      </c>
    </row>
    <row r="36" spans="1:10" ht="12.75" customHeight="1" x14ac:dyDescent="0.25">
      <c r="A36" s="20" t="s">
        <v>152</v>
      </c>
      <c r="B36" s="24">
        <f>'D4-FinPos'!C24</f>
        <v>4739919</v>
      </c>
      <c r="C36" s="23">
        <f>'D4-FinPos'!D24</f>
        <v>5072747</v>
      </c>
      <c r="D36" s="83">
        <f>'D4-FinPos'!E24</f>
        <v>4369154</v>
      </c>
      <c r="E36" s="24">
        <f>'D4-FinPos'!F24</f>
        <v>497301</v>
      </c>
      <c r="F36" s="23">
        <f>'D4-FinPos'!G24</f>
        <v>497301</v>
      </c>
      <c r="G36" s="83">
        <f>'D4-FinPos'!H24</f>
        <v>497301</v>
      </c>
      <c r="H36" s="24">
        <f>'D4-FinPos'!I24</f>
        <v>225000</v>
      </c>
      <c r="I36" s="23">
        <f>'D4-FinPos'!J24</f>
        <v>236250</v>
      </c>
      <c r="J36" s="83">
        <f>'D4-FinPos'!K24</f>
        <v>248062.5</v>
      </c>
    </row>
    <row r="37" spans="1:10" ht="12.75" customHeight="1" x14ac:dyDescent="0.25">
      <c r="A37" s="20" t="s">
        <v>25</v>
      </c>
      <c r="B37" s="24">
        <f>'D4-FinPos'!C34</f>
        <v>8895752</v>
      </c>
      <c r="C37" s="23">
        <f>'D4-FinPos'!D34</f>
        <v>9096946</v>
      </c>
      <c r="D37" s="83">
        <f>'D4-FinPos'!E34</f>
        <v>11883834</v>
      </c>
      <c r="E37" s="24">
        <f>'D4-FinPos'!F34</f>
        <v>0</v>
      </c>
      <c r="F37" s="23">
        <f>'D4-FinPos'!G34</f>
        <v>0</v>
      </c>
      <c r="G37" s="83">
        <f>'D4-FinPos'!H34</f>
        <v>0</v>
      </c>
      <c r="H37" s="24">
        <f>'D4-FinPos'!I34</f>
        <v>0</v>
      </c>
      <c r="I37" s="23">
        <f>'D4-FinPos'!J34</f>
        <v>0</v>
      </c>
      <c r="J37" s="83">
        <f>'D4-FinPos'!K34</f>
        <v>0</v>
      </c>
    </row>
    <row r="38" spans="1:10" ht="12.75" customHeight="1" x14ac:dyDescent="0.25">
      <c r="A38" s="20" t="s">
        <v>24</v>
      </c>
      <c r="B38" s="24">
        <f>'D4-FinPos'!C39</f>
        <v>0</v>
      </c>
      <c r="C38" s="23">
        <f>'D4-FinPos'!D39</f>
        <v>7125</v>
      </c>
      <c r="D38" s="83">
        <f>'D4-FinPos'!E39</f>
        <v>0</v>
      </c>
      <c r="E38" s="24">
        <f>'D4-FinPos'!F39</f>
        <v>0</v>
      </c>
      <c r="F38" s="23">
        <f>'D4-FinPos'!G39</f>
        <v>0</v>
      </c>
      <c r="G38" s="83">
        <f>'D4-FinPos'!H39</f>
        <v>0</v>
      </c>
      <c r="H38" s="24">
        <f>'D4-FinPos'!I39</f>
        <v>0</v>
      </c>
      <c r="I38" s="23">
        <f>'D4-FinPos'!J39</f>
        <v>0</v>
      </c>
      <c r="J38" s="83">
        <f>'D4-FinPos'!K39</f>
        <v>0</v>
      </c>
    </row>
    <row r="39" spans="1:10" ht="12.75" customHeight="1" x14ac:dyDescent="0.25">
      <c r="A39" s="20" t="s">
        <v>56</v>
      </c>
      <c r="B39" s="24">
        <f>'D4-FinPos'!C48</f>
        <v>12296773</v>
      </c>
      <c r="C39" s="23">
        <f>'D4-FinPos'!D48</f>
        <v>15358702</v>
      </c>
      <c r="D39" s="83">
        <f>'D4-FinPos'!E48</f>
        <v>8508628</v>
      </c>
      <c r="E39" s="24">
        <f>'D4-FinPos'!F48</f>
        <v>511000</v>
      </c>
      <c r="F39" s="23">
        <f>'D4-FinPos'!G48</f>
        <v>511000</v>
      </c>
      <c r="G39" s="83">
        <f>'D4-FinPos'!H48</f>
        <v>511000</v>
      </c>
      <c r="H39" s="24">
        <f>'D4-FinPos'!I48</f>
        <v>237000</v>
      </c>
      <c r="I39" s="23">
        <f>'D4-FinPos'!J48</f>
        <v>248850</v>
      </c>
      <c r="J39" s="83">
        <f>'D4-FinPos'!K48</f>
        <v>261292.5</v>
      </c>
    </row>
    <row r="40" spans="1:10" ht="5.0999999999999996" customHeight="1" x14ac:dyDescent="0.25">
      <c r="A40" s="210"/>
      <c r="B40" s="55"/>
      <c r="C40" s="54"/>
      <c r="D40" s="98"/>
      <c r="E40" s="55"/>
      <c r="F40" s="54"/>
      <c r="G40" s="98"/>
      <c r="H40" s="55"/>
      <c r="I40" s="54"/>
      <c r="J40" s="98"/>
    </row>
    <row r="41" spans="1:10" ht="12.75" customHeight="1" x14ac:dyDescent="0.25">
      <c r="A41" s="19" t="s">
        <v>51</v>
      </c>
      <c r="B41" s="24"/>
      <c r="C41" s="23"/>
      <c r="D41" s="83"/>
      <c r="E41" s="24"/>
      <c r="F41" s="23"/>
      <c r="G41" s="83"/>
      <c r="H41" s="24"/>
      <c r="I41" s="23"/>
      <c r="J41" s="83"/>
    </row>
    <row r="42" spans="1:10" ht="12.75" customHeight="1" x14ac:dyDescent="0.25">
      <c r="A42" s="20" t="s">
        <v>167</v>
      </c>
      <c r="B42" s="24">
        <f>'D5-CFlow'!C18</f>
        <v>4144610</v>
      </c>
      <c r="C42" s="23">
        <f>'D5-CFlow'!D18</f>
        <v>6203459</v>
      </c>
      <c r="D42" s="83">
        <f>'D5-CFlow'!E18</f>
        <v>-3216765</v>
      </c>
      <c r="E42" s="24">
        <f>'D5-CFlow'!F18</f>
        <v>799500</v>
      </c>
      <c r="F42" s="23">
        <f>'D5-CFlow'!G18</f>
        <v>0</v>
      </c>
      <c r="G42" s="83">
        <f>'D5-CFlow'!H18</f>
        <v>0</v>
      </c>
      <c r="H42" s="24">
        <f>'D5-CFlow'!I18</f>
        <v>225000</v>
      </c>
      <c r="I42" s="23">
        <f>'D5-CFlow'!J18</f>
        <v>236250</v>
      </c>
      <c r="J42" s="83">
        <f>'D5-CFlow'!K18</f>
        <v>248062.5</v>
      </c>
    </row>
    <row r="43" spans="1:10" ht="12.75" customHeight="1" x14ac:dyDescent="0.25">
      <c r="A43" s="20" t="s">
        <v>168</v>
      </c>
      <c r="B43" s="24">
        <f>'D5-CFlow'!C28</f>
        <v>-667861</v>
      </c>
      <c r="C43" s="23">
        <f>'D5-CFlow'!D28</f>
        <v>-1085797</v>
      </c>
      <c r="D43" s="83">
        <f>'D5-CFlow'!E28</f>
        <v>-123994</v>
      </c>
      <c r="E43" s="24">
        <f>'D5-CFlow'!F28</f>
        <v>-497301</v>
      </c>
      <c r="F43" s="23">
        <f>'D5-CFlow'!G28</f>
        <v>-497301</v>
      </c>
      <c r="G43" s="83">
        <f>'D5-CFlow'!H28</f>
        <v>-497301</v>
      </c>
      <c r="H43" s="24">
        <f>'D5-CFlow'!I28</f>
        <v>-225000</v>
      </c>
      <c r="I43" s="23">
        <f>'D5-CFlow'!J28</f>
        <v>-236250</v>
      </c>
      <c r="J43" s="83">
        <f>'D5-CFlow'!K28</f>
        <v>-248062.5</v>
      </c>
    </row>
    <row r="44" spans="1:10" ht="12.75" customHeight="1" x14ac:dyDescent="0.25">
      <c r="A44" s="20" t="s">
        <v>166</v>
      </c>
      <c r="B44" s="24">
        <f>'D5-CFlow'!C37</f>
        <v>-48759</v>
      </c>
      <c r="C44" s="23">
        <f>'D5-CFlow'!D37</f>
        <v>-37917</v>
      </c>
      <c r="D44" s="83">
        <f>'D5-CFlow'!E37</f>
        <v>-36068</v>
      </c>
      <c r="E44" s="24">
        <f>'D5-CFlow'!F37</f>
        <v>-15661845</v>
      </c>
      <c r="F44" s="23">
        <f>'D5-CFlow'!G37</f>
        <v>-14862345</v>
      </c>
      <c r="G44" s="83">
        <f>'D5-CFlow'!H37</f>
        <v>-14862345</v>
      </c>
      <c r="H44" s="24">
        <f>'D5-CFlow'!I37</f>
        <v>-2000</v>
      </c>
      <c r="I44" s="23">
        <f>'D5-CFlow'!J37</f>
        <v>1000</v>
      </c>
      <c r="J44" s="83">
        <f>'D5-CFlow'!K37</f>
        <v>500</v>
      </c>
    </row>
    <row r="45" spans="1:10" ht="12.75" customHeight="1" x14ac:dyDescent="0.25">
      <c r="A45" s="214" t="s">
        <v>28</v>
      </c>
      <c r="B45" s="27">
        <f>'D5-CFlow'!C41</f>
        <v>13670728</v>
      </c>
      <c r="C45" s="26">
        <f>'D5-CFlow'!D41</f>
        <v>18750473</v>
      </c>
      <c r="D45" s="99">
        <f>'D5-CFlow'!E41</f>
        <v>15373646</v>
      </c>
      <c r="E45" s="27">
        <f>'D5-CFlow'!F41</f>
        <v>14000</v>
      </c>
      <c r="F45" s="26">
        <f>'D5-CFlow'!G41</f>
        <v>14000</v>
      </c>
      <c r="G45" s="99">
        <f>'D5-CFlow'!H41</f>
        <v>14000</v>
      </c>
      <c r="H45" s="27">
        <f>'D5-CFlow'!I41</f>
        <v>12000</v>
      </c>
      <c r="I45" s="26">
        <f>'D5-CFlow'!J41</f>
        <v>13000</v>
      </c>
      <c r="J45" s="99">
        <f>'D5-CFlow'!K41</f>
        <v>13500</v>
      </c>
    </row>
    <row r="46" spans="1:10" ht="5.0999999999999996" customHeight="1" x14ac:dyDescent="0.25">
      <c r="A46" s="210"/>
      <c r="B46" s="55"/>
      <c r="C46" s="54"/>
      <c r="D46" s="98"/>
      <c r="E46" s="55"/>
      <c r="F46" s="54"/>
      <c r="G46" s="98"/>
      <c r="H46" s="55"/>
      <c r="I46" s="54"/>
      <c r="J46" s="98"/>
    </row>
  </sheetData>
  <sheetProtection password="A35B" sheet="1" objects="1" scenarios="1"/>
  <phoneticPr fontId="2" type="noConversion"/>
  <printOptions horizontalCentered="1"/>
  <pageMargins left="0.36" right="0.17" top="0.79" bottom="0.6" header="0.51181102362204722" footer="0.41"/>
  <pageSetup paperSize="9" scale="9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0">
    <tabColor indexed="44"/>
    <pageSetUpPr fitToPage="1"/>
  </sheetPr>
  <dimension ref="A1:W50"/>
  <sheetViews>
    <sheetView showGridLines="0" tabSelected="1" zoomScaleNormal="100" workbookViewId="0">
      <pane xSplit="2" ySplit="3" topLeftCell="C12" activePane="bottomRight" state="frozen"/>
      <selection activeCell="A23" sqref="A23"/>
      <selection pane="topRight" activeCell="A23" sqref="A23"/>
      <selection pane="bottomLeft" activeCell="A23" sqref="A23"/>
      <selection pane="bottomRight" activeCell="I16" sqref="I16"/>
    </sheetView>
  </sheetViews>
  <sheetFormatPr defaultColWidth="9.140625" defaultRowHeight="12.75" x14ac:dyDescent="0.25"/>
  <cols>
    <col min="1" max="1" width="35.7109375" style="17" customWidth="1"/>
    <col min="2" max="2" width="3.140625" style="32" customWidth="1"/>
    <col min="3" max="11" width="8.7109375" style="17" customWidth="1"/>
    <col min="12" max="16384" width="9.140625" style="17"/>
  </cols>
  <sheetData>
    <row r="1" spans="1:23" ht="13.5" x14ac:dyDescent="0.25">
      <c r="A1" s="88" t="str">
        <f>_MEB1</f>
        <v>Harry Gwala Development Agency (Pty) Ltd - Table D2 Budgeted Financial Performance (revenue and expenditure)</v>
      </c>
    </row>
    <row r="2" spans="1:23" ht="25.5" x14ac:dyDescent="0.25">
      <c r="A2" s="301" t="str">
        <f>desc</f>
        <v>Description</v>
      </c>
      <c r="B2" s="301" t="str">
        <f>head27</f>
        <v>Ref</v>
      </c>
      <c r="C2" s="85" t="str">
        <f>head1b</f>
        <v>2015/16</v>
      </c>
      <c r="D2" s="18" t="str">
        <f>head1A</f>
        <v>2016/17</v>
      </c>
      <c r="E2" s="80" t="str">
        <f>Head1</f>
        <v>2017/18</v>
      </c>
      <c r="F2" s="106" t="str">
        <f>Head2</f>
        <v>Current Year 2018/19</v>
      </c>
      <c r="G2" s="104"/>
      <c r="H2" s="105"/>
      <c r="I2" s="106" t="str">
        <f>Head3a</f>
        <v>Medium Term Revenue and Expenditure Framework</v>
      </c>
      <c r="J2" s="104"/>
      <c r="K2" s="105"/>
    </row>
    <row r="3" spans="1:23" ht="29.25" customHeight="1" x14ac:dyDescent="0.25">
      <c r="A3" s="306" t="s">
        <v>186</v>
      </c>
      <c r="B3" s="302"/>
      <c r="C3" s="101" t="str">
        <f>Head5</f>
        <v>Audited Outcome</v>
      </c>
      <c r="D3" s="79" t="str">
        <f>Head5</f>
        <v>Audited Outcome</v>
      </c>
      <c r="E3" s="300" t="str">
        <f>Head5</f>
        <v>Audited Outcome</v>
      </c>
      <c r="F3" s="299" t="str">
        <f>Head6</f>
        <v>Original Budget</v>
      </c>
      <c r="G3" s="102" t="str">
        <f>Head7</f>
        <v>Adjusted Budget</v>
      </c>
      <c r="H3" s="300" t="str">
        <f>Head8</f>
        <v>Full Year Forecast</v>
      </c>
      <c r="I3" s="299" t="str">
        <f>Head9</f>
        <v>Budget Year 2019/20</v>
      </c>
      <c r="J3" s="102" t="str">
        <f>Head10</f>
        <v>Budget Year +1 2020/21</v>
      </c>
      <c r="K3" s="300" t="str">
        <f>Head11</f>
        <v>Budget Year +2 2021/22</v>
      </c>
    </row>
    <row r="4" spans="1:23" ht="12.75" customHeight="1" x14ac:dyDescent="0.25">
      <c r="A4" s="208" t="s">
        <v>39</v>
      </c>
      <c r="B4" s="235">
        <v>1</v>
      </c>
      <c r="C4" s="24"/>
      <c r="D4" s="23"/>
      <c r="E4" s="83"/>
      <c r="F4" s="24"/>
      <c r="G4" s="23"/>
      <c r="H4" s="83"/>
      <c r="I4" s="24"/>
      <c r="J4" s="23"/>
      <c r="K4" s="83"/>
      <c r="L4" s="161"/>
      <c r="M4" s="161"/>
      <c r="N4" s="161"/>
      <c r="O4" s="161"/>
      <c r="P4" s="161"/>
      <c r="Q4" s="161"/>
      <c r="R4" s="161"/>
      <c r="S4" s="161"/>
      <c r="T4" s="161"/>
      <c r="U4" s="161"/>
      <c r="V4" s="161"/>
      <c r="W4" s="161"/>
    </row>
    <row r="5" spans="1:23" ht="12.75" customHeight="1" x14ac:dyDescent="0.25">
      <c r="A5" s="20" t="s">
        <v>363</v>
      </c>
      <c r="B5" s="90"/>
      <c r="C5" s="168"/>
      <c r="D5" s="166"/>
      <c r="E5" s="167"/>
      <c r="F5" s="168"/>
      <c r="G5" s="166"/>
      <c r="H5" s="167"/>
      <c r="I5" s="168"/>
      <c r="J5" s="166"/>
      <c r="K5" s="167"/>
      <c r="L5" s="44"/>
      <c r="M5" s="44"/>
      <c r="N5" s="44"/>
      <c r="O5" s="44"/>
      <c r="P5" s="44"/>
      <c r="Q5" s="44"/>
      <c r="R5" s="44"/>
      <c r="S5" s="44"/>
      <c r="T5" s="44"/>
      <c r="U5" s="44"/>
      <c r="V5" s="44"/>
      <c r="W5" s="44"/>
    </row>
    <row r="6" spans="1:23" ht="12.75" customHeight="1" x14ac:dyDescent="0.25">
      <c r="A6" s="20" t="s">
        <v>309</v>
      </c>
      <c r="B6" s="90"/>
      <c r="C6" s="168"/>
      <c r="D6" s="166"/>
      <c r="E6" s="167"/>
      <c r="F6" s="168"/>
      <c r="G6" s="166"/>
      <c r="H6" s="167"/>
      <c r="I6" s="168"/>
      <c r="J6" s="166"/>
      <c r="K6" s="167"/>
      <c r="L6" s="44"/>
      <c r="M6" s="44"/>
      <c r="N6" s="44"/>
      <c r="O6" s="44"/>
      <c r="P6" s="44"/>
      <c r="Q6" s="44"/>
      <c r="R6" s="44"/>
      <c r="S6" s="44"/>
      <c r="T6" s="44"/>
      <c r="U6" s="44"/>
      <c r="V6" s="44"/>
      <c r="W6" s="44"/>
    </row>
    <row r="7" spans="1:23" ht="12.75" customHeight="1" x14ac:dyDescent="0.25">
      <c r="A7" s="20" t="s">
        <v>310</v>
      </c>
      <c r="B7" s="90"/>
      <c r="C7" s="168"/>
      <c r="D7" s="166"/>
      <c r="E7" s="167"/>
      <c r="F7" s="168"/>
      <c r="G7" s="166"/>
      <c r="H7" s="167"/>
      <c r="I7" s="168"/>
      <c r="J7" s="166"/>
      <c r="K7" s="167"/>
      <c r="L7" s="44"/>
      <c r="M7" s="44"/>
      <c r="N7" s="44"/>
      <c r="O7" s="44"/>
      <c r="P7" s="44"/>
      <c r="Q7" s="44"/>
      <c r="R7" s="44"/>
      <c r="S7" s="44"/>
      <c r="T7" s="44"/>
      <c r="U7" s="44"/>
      <c r="V7" s="44"/>
      <c r="W7" s="44"/>
    </row>
    <row r="8" spans="1:23" ht="12.75" customHeight="1" x14ac:dyDescent="0.25">
      <c r="A8" s="20" t="s">
        <v>311</v>
      </c>
      <c r="B8" s="90"/>
      <c r="C8" s="168"/>
      <c r="D8" s="166"/>
      <c r="E8" s="167"/>
      <c r="F8" s="168"/>
      <c r="G8" s="166"/>
      <c r="H8" s="167"/>
      <c r="I8" s="168"/>
      <c r="J8" s="166"/>
      <c r="K8" s="167"/>
      <c r="L8" s="44"/>
      <c r="M8" s="44"/>
      <c r="N8" s="44"/>
      <c r="O8" s="44"/>
      <c r="P8" s="44"/>
      <c r="Q8" s="44"/>
      <c r="R8" s="44"/>
      <c r="S8" s="44"/>
      <c r="T8" s="44"/>
      <c r="U8" s="44"/>
      <c r="V8" s="44"/>
      <c r="W8" s="44"/>
    </row>
    <row r="9" spans="1:23" ht="12.75" customHeight="1" x14ac:dyDescent="0.25">
      <c r="A9" s="20" t="s">
        <v>773</v>
      </c>
      <c r="B9" s="90"/>
      <c r="C9" s="168"/>
      <c r="D9" s="166"/>
      <c r="E9" s="167"/>
      <c r="F9" s="168"/>
      <c r="G9" s="166"/>
      <c r="H9" s="167"/>
      <c r="I9" s="168"/>
      <c r="J9" s="166"/>
      <c r="K9" s="167"/>
      <c r="L9" s="44"/>
      <c r="M9" s="44"/>
      <c r="N9" s="44"/>
      <c r="O9" s="44"/>
      <c r="P9" s="44"/>
      <c r="Q9" s="44"/>
      <c r="R9" s="44"/>
      <c r="S9" s="44"/>
      <c r="T9" s="44"/>
      <c r="U9" s="44"/>
      <c r="V9" s="44"/>
      <c r="W9" s="44"/>
    </row>
    <row r="10" spans="1:23" ht="0.95" customHeight="1" x14ac:dyDescent="0.25">
      <c r="A10" s="20"/>
      <c r="B10" s="90"/>
      <c r="C10" s="24"/>
      <c r="D10" s="23"/>
      <c r="E10" s="83"/>
      <c r="F10" s="24"/>
      <c r="G10" s="23"/>
      <c r="H10" s="83"/>
      <c r="I10" s="24"/>
      <c r="J10" s="23"/>
      <c r="K10" s="83"/>
      <c r="L10" s="44"/>
      <c r="M10" s="44"/>
      <c r="N10" s="44"/>
      <c r="O10" s="44"/>
      <c r="P10" s="44"/>
      <c r="Q10" s="44"/>
      <c r="R10" s="44"/>
      <c r="S10" s="44"/>
      <c r="T10" s="44"/>
      <c r="U10" s="44"/>
      <c r="V10" s="44"/>
      <c r="W10" s="44"/>
    </row>
    <row r="11" spans="1:23" ht="12.75" customHeight="1" x14ac:dyDescent="0.25">
      <c r="A11" s="20" t="s">
        <v>408</v>
      </c>
      <c r="B11" s="90"/>
      <c r="C11" s="168"/>
      <c r="D11" s="166"/>
      <c r="E11" s="167"/>
      <c r="F11" s="239"/>
      <c r="G11" s="166"/>
      <c r="H11" s="167"/>
      <c r="I11" s="168"/>
      <c r="J11" s="166"/>
      <c r="K11" s="167"/>
      <c r="L11" s="44"/>
      <c r="M11" s="44"/>
      <c r="N11" s="44"/>
      <c r="O11" s="44"/>
      <c r="P11" s="44"/>
      <c r="Q11" s="44"/>
      <c r="R11" s="44"/>
      <c r="S11" s="44"/>
      <c r="T11" s="44"/>
      <c r="U11" s="44"/>
      <c r="V11" s="44"/>
      <c r="W11" s="44"/>
    </row>
    <row r="12" spans="1:23" ht="12.75" customHeight="1" x14ac:dyDescent="0.25">
      <c r="A12" s="20" t="s">
        <v>314</v>
      </c>
      <c r="B12" s="90"/>
      <c r="C12" s="168">
        <v>293364</v>
      </c>
      <c r="D12" s="166">
        <v>600000</v>
      </c>
      <c r="E12" s="167">
        <v>730957</v>
      </c>
      <c r="F12" s="239">
        <v>300000</v>
      </c>
      <c r="G12" s="166">
        <v>620000</v>
      </c>
      <c r="H12" s="168">
        <f>G12</f>
        <v>620000</v>
      </c>
      <c r="I12" s="510">
        <v>683000</v>
      </c>
      <c r="J12" s="508">
        <v>717150</v>
      </c>
      <c r="K12" s="509">
        <v>753007.5</v>
      </c>
      <c r="L12" s="44"/>
      <c r="M12" s="44"/>
      <c r="N12" s="44"/>
      <c r="O12" s="44"/>
      <c r="P12" s="44"/>
      <c r="Q12" s="44"/>
      <c r="R12" s="44"/>
      <c r="S12" s="44"/>
      <c r="T12" s="44"/>
      <c r="U12" s="44"/>
      <c r="V12" s="44"/>
      <c r="W12" s="44"/>
    </row>
    <row r="13" spans="1:23" ht="12.75" customHeight="1" x14ac:dyDescent="0.25">
      <c r="A13" s="20" t="s">
        <v>315</v>
      </c>
      <c r="B13" s="90"/>
      <c r="C13" s="168"/>
      <c r="D13" s="166"/>
      <c r="E13" s="167"/>
      <c r="F13" s="239"/>
      <c r="G13" s="166"/>
      <c r="H13" s="168"/>
      <c r="I13" s="239"/>
      <c r="J13" s="166"/>
      <c r="K13" s="167"/>
      <c r="L13" s="44"/>
      <c r="M13" s="44"/>
      <c r="N13" s="44"/>
      <c r="O13" s="44"/>
      <c r="P13" s="44"/>
      <c r="Q13" s="44"/>
      <c r="R13" s="44"/>
      <c r="S13" s="44"/>
      <c r="T13" s="44"/>
      <c r="U13" s="44"/>
      <c r="V13" s="44"/>
      <c r="W13" s="44"/>
    </row>
    <row r="14" spans="1:23" ht="12.75" customHeight="1" x14ac:dyDescent="0.25">
      <c r="A14" s="20" t="s">
        <v>359</v>
      </c>
      <c r="B14" s="90"/>
      <c r="C14" s="168"/>
      <c r="D14" s="166"/>
      <c r="E14" s="167"/>
      <c r="F14" s="239"/>
      <c r="G14" s="166"/>
      <c r="H14" s="168"/>
      <c r="I14" s="239"/>
      <c r="J14" s="166"/>
      <c r="K14" s="167"/>
      <c r="L14" s="44"/>
      <c r="M14" s="44"/>
      <c r="N14" s="44"/>
      <c r="O14" s="44"/>
      <c r="P14" s="44"/>
      <c r="Q14" s="44"/>
      <c r="R14" s="44"/>
      <c r="S14" s="44"/>
      <c r="T14" s="44"/>
      <c r="U14" s="44"/>
      <c r="V14" s="44"/>
      <c r="W14" s="44"/>
    </row>
    <row r="15" spans="1:23" ht="12.75" customHeight="1" x14ac:dyDescent="0.25">
      <c r="A15" s="20" t="s">
        <v>853</v>
      </c>
      <c r="B15" s="90"/>
      <c r="C15" s="168"/>
      <c r="D15" s="166"/>
      <c r="E15" s="167"/>
      <c r="F15" s="239"/>
      <c r="G15" s="166"/>
      <c r="H15" s="168"/>
      <c r="I15" s="239"/>
      <c r="J15" s="166"/>
      <c r="K15" s="167"/>
      <c r="L15" s="44"/>
      <c r="M15" s="44"/>
      <c r="N15" s="44"/>
      <c r="O15" s="44"/>
      <c r="P15" s="44"/>
      <c r="Q15" s="44"/>
      <c r="R15" s="44"/>
      <c r="S15" s="44"/>
      <c r="T15" s="44"/>
      <c r="U15" s="44"/>
      <c r="V15" s="44"/>
      <c r="W15" s="44"/>
    </row>
    <row r="16" spans="1:23" ht="12.75" customHeight="1" x14ac:dyDescent="0.25">
      <c r="A16" s="20" t="s">
        <v>316</v>
      </c>
      <c r="B16" s="90"/>
      <c r="C16" s="168"/>
      <c r="D16" s="166"/>
      <c r="E16" s="167"/>
      <c r="F16" s="239"/>
      <c r="G16" s="166"/>
      <c r="H16" s="168"/>
      <c r="I16" s="239"/>
      <c r="J16" s="166"/>
      <c r="K16" s="167"/>
      <c r="L16" s="44"/>
      <c r="M16" s="44"/>
      <c r="N16" s="44"/>
      <c r="O16" s="44"/>
      <c r="P16" s="44"/>
      <c r="Q16" s="44"/>
      <c r="R16" s="44"/>
      <c r="S16" s="44"/>
      <c r="T16" s="44"/>
      <c r="U16" s="44"/>
      <c r="V16" s="44"/>
      <c r="W16" s="44"/>
    </row>
    <row r="17" spans="1:23" ht="12.75" customHeight="1" x14ac:dyDescent="0.25">
      <c r="A17" s="20" t="s">
        <v>116</v>
      </c>
      <c r="B17" s="90"/>
      <c r="C17" s="168"/>
      <c r="D17" s="166"/>
      <c r="E17" s="167"/>
      <c r="F17" s="239"/>
      <c r="G17" s="166"/>
      <c r="H17" s="168"/>
      <c r="I17" s="239"/>
      <c r="J17" s="166"/>
      <c r="K17" s="167"/>
      <c r="L17" s="44"/>
      <c r="M17" s="44"/>
      <c r="N17" s="44"/>
      <c r="O17" s="44"/>
      <c r="P17" s="44"/>
      <c r="Q17" s="44"/>
      <c r="R17" s="44"/>
      <c r="S17" s="44"/>
      <c r="T17" s="44"/>
      <c r="U17" s="44"/>
      <c r="V17" s="44"/>
      <c r="W17" s="44"/>
    </row>
    <row r="18" spans="1:23" ht="12.75" customHeight="1" x14ac:dyDescent="0.25">
      <c r="A18" s="20" t="s">
        <v>854</v>
      </c>
      <c r="B18" s="90"/>
      <c r="C18" s="168">
        <v>29564676</v>
      </c>
      <c r="D18" s="166">
        <v>17333333</v>
      </c>
      <c r="E18" s="167">
        <v>8000000</v>
      </c>
      <c r="F18" s="239">
        <v>15000000</v>
      </c>
      <c r="G18" s="166">
        <v>17000000</v>
      </c>
      <c r="H18" s="168">
        <f t="shared" ref="H18:H19" si="0">G18</f>
        <v>17000000</v>
      </c>
      <c r="I18" s="239">
        <v>15000000</v>
      </c>
      <c r="J18" s="166">
        <v>17000000</v>
      </c>
      <c r="K18" s="167">
        <v>20000000</v>
      </c>
      <c r="L18" s="44"/>
      <c r="M18" s="44"/>
      <c r="N18" s="44"/>
      <c r="O18" s="44"/>
      <c r="P18" s="44"/>
      <c r="Q18" s="44"/>
      <c r="R18" s="44"/>
      <c r="S18" s="44"/>
      <c r="T18" s="44"/>
      <c r="U18" s="44"/>
      <c r="V18" s="44"/>
      <c r="W18" s="44"/>
    </row>
    <row r="19" spans="1:23" ht="12.75" customHeight="1" x14ac:dyDescent="0.25">
      <c r="A19" s="20" t="s">
        <v>20</v>
      </c>
      <c r="B19" s="90"/>
      <c r="C19" s="168">
        <v>41027</v>
      </c>
      <c r="D19" s="166">
        <v>5000</v>
      </c>
      <c r="E19" s="167">
        <v>41389</v>
      </c>
      <c r="F19" s="239">
        <v>7500</v>
      </c>
      <c r="G19" s="166">
        <v>15000</v>
      </c>
      <c r="H19" s="168">
        <f t="shared" si="0"/>
        <v>15000</v>
      </c>
      <c r="I19" s="513">
        <v>17500</v>
      </c>
      <c r="J19" s="511">
        <v>18375</v>
      </c>
      <c r="K19" s="512">
        <v>19293.75</v>
      </c>
      <c r="L19" s="44"/>
      <c r="M19" s="44"/>
      <c r="N19" s="44"/>
      <c r="O19" s="44"/>
      <c r="P19" s="44"/>
      <c r="Q19" s="44"/>
      <c r="R19" s="44"/>
      <c r="S19" s="44"/>
      <c r="T19" s="44"/>
      <c r="U19" s="44"/>
      <c r="V19" s="44"/>
      <c r="W19" s="44"/>
    </row>
    <row r="20" spans="1:23" ht="12.75" customHeight="1" x14ac:dyDescent="0.25">
      <c r="A20" s="20" t="s">
        <v>317</v>
      </c>
      <c r="B20" s="90"/>
      <c r="C20" s="168"/>
      <c r="D20" s="166"/>
      <c r="E20" s="170"/>
      <c r="F20" s="239"/>
      <c r="G20" s="166"/>
      <c r="H20" s="167"/>
      <c r="I20" s="168"/>
      <c r="J20" s="166"/>
      <c r="K20" s="167"/>
      <c r="L20" s="44"/>
      <c r="M20" s="44"/>
      <c r="N20" s="44"/>
      <c r="O20" s="44"/>
      <c r="P20" s="44"/>
      <c r="Q20" s="44"/>
      <c r="R20" s="44"/>
      <c r="S20" s="44"/>
      <c r="T20" s="44"/>
      <c r="U20" s="44"/>
      <c r="V20" s="44"/>
      <c r="W20" s="44"/>
    </row>
    <row r="21" spans="1:23" ht="24.75" customHeight="1" x14ac:dyDescent="0.25">
      <c r="A21" s="307" t="s">
        <v>499</v>
      </c>
      <c r="B21" s="107"/>
      <c r="C21" s="39">
        <f>SUM(C5:C9)+SUM(C11:C20)</f>
        <v>29899067</v>
      </c>
      <c r="D21" s="38">
        <f t="shared" ref="D21:K21" si="1">SUM(D5:D9)+SUM(D11:D20)</f>
        <v>17938333</v>
      </c>
      <c r="E21" s="84">
        <f t="shared" si="1"/>
        <v>8772346</v>
      </c>
      <c r="F21" s="39">
        <f t="shared" si="1"/>
        <v>15307500</v>
      </c>
      <c r="G21" s="38">
        <f t="shared" si="1"/>
        <v>17635000</v>
      </c>
      <c r="H21" s="84">
        <f t="shared" si="1"/>
        <v>17635000</v>
      </c>
      <c r="I21" s="39">
        <f t="shared" si="1"/>
        <v>15700500</v>
      </c>
      <c r="J21" s="38">
        <f t="shared" si="1"/>
        <v>17735525</v>
      </c>
      <c r="K21" s="84">
        <f t="shared" si="1"/>
        <v>20772301.25</v>
      </c>
      <c r="L21" s="35">
        <f t="shared" ref="L21:W21" si="2">SUM(L5:L19)</f>
        <v>0</v>
      </c>
      <c r="M21" s="35">
        <f t="shared" si="2"/>
        <v>0</v>
      </c>
      <c r="N21" s="35">
        <f t="shared" si="2"/>
        <v>0</v>
      </c>
      <c r="O21" s="35">
        <f t="shared" si="2"/>
        <v>0</v>
      </c>
      <c r="P21" s="35">
        <f t="shared" si="2"/>
        <v>0</v>
      </c>
      <c r="Q21" s="35">
        <f t="shared" si="2"/>
        <v>0</v>
      </c>
      <c r="R21" s="35">
        <f t="shared" si="2"/>
        <v>0</v>
      </c>
      <c r="S21" s="35">
        <f t="shared" si="2"/>
        <v>0</v>
      </c>
      <c r="T21" s="35">
        <f t="shared" si="2"/>
        <v>0</v>
      </c>
      <c r="U21" s="35">
        <f t="shared" si="2"/>
        <v>0</v>
      </c>
      <c r="V21" s="35">
        <f t="shared" si="2"/>
        <v>0</v>
      </c>
      <c r="W21" s="35">
        <f t="shared" si="2"/>
        <v>0</v>
      </c>
    </row>
    <row r="22" spans="1:23" ht="5.0999999999999996" customHeight="1" x14ac:dyDescent="0.25">
      <c r="A22" s="21"/>
      <c r="B22" s="90"/>
      <c r="C22" s="24"/>
      <c r="D22" s="23"/>
      <c r="E22" s="83"/>
      <c r="F22" s="24"/>
      <c r="G22" s="23"/>
      <c r="H22" s="83"/>
      <c r="I22" s="24"/>
      <c r="J22" s="23"/>
      <c r="K22" s="83"/>
      <c r="L22" s="44"/>
      <c r="M22" s="44"/>
      <c r="N22" s="44"/>
      <c r="O22" s="44"/>
      <c r="P22" s="44"/>
      <c r="Q22" s="44"/>
      <c r="R22" s="44"/>
      <c r="S22" s="44"/>
      <c r="T22" s="44"/>
      <c r="U22" s="44"/>
      <c r="V22" s="44"/>
      <c r="W22" s="44"/>
    </row>
    <row r="23" spans="1:23" ht="12.75" customHeight="1" x14ac:dyDescent="0.25">
      <c r="A23" s="19" t="s">
        <v>46</v>
      </c>
      <c r="B23" s="230"/>
      <c r="C23" s="24"/>
      <c r="D23" s="23"/>
      <c r="E23" s="83"/>
      <c r="F23" s="24"/>
      <c r="G23" s="23"/>
      <c r="H23" s="83"/>
      <c r="I23" s="24"/>
      <c r="J23" s="23"/>
      <c r="K23" s="83"/>
      <c r="L23" s="44"/>
      <c r="M23" s="44"/>
      <c r="N23" s="44"/>
      <c r="O23" s="44"/>
      <c r="P23" s="44"/>
      <c r="Q23" s="44"/>
      <c r="R23" s="44"/>
      <c r="S23" s="44"/>
      <c r="T23" s="44"/>
      <c r="U23" s="44"/>
      <c r="V23" s="44"/>
      <c r="W23" s="44"/>
    </row>
    <row r="24" spans="1:23" ht="12.75" customHeight="1" x14ac:dyDescent="0.25">
      <c r="A24" s="20" t="s">
        <v>318</v>
      </c>
      <c r="B24" s="90"/>
      <c r="C24" s="168">
        <v>6440720</v>
      </c>
      <c r="D24" s="166">
        <v>8976754</v>
      </c>
      <c r="E24" s="167">
        <v>8780043</v>
      </c>
      <c r="F24" s="166">
        <v>5429709</v>
      </c>
      <c r="G24" s="166">
        <v>6524199</v>
      </c>
      <c r="H24" s="168">
        <f t="shared" ref="H24:H33" si="3">G24</f>
        <v>6524199</v>
      </c>
      <c r="I24" s="166">
        <v>7631500</v>
      </c>
      <c r="J24" s="166">
        <f t="shared" ref="J24:K24" si="4">I24*1.05</f>
        <v>8013075</v>
      </c>
      <c r="K24" s="167">
        <f t="shared" si="4"/>
        <v>8413728.75</v>
      </c>
      <c r="L24" s="44"/>
      <c r="M24" s="44"/>
      <c r="N24" s="44"/>
      <c r="O24" s="44"/>
      <c r="P24" s="44"/>
      <c r="Q24" s="44"/>
      <c r="R24" s="44"/>
      <c r="S24" s="44"/>
      <c r="T24" s="44"/>
      <c r="U24" s="44"/>
      <c r="V24" s="44"/>
      <c r="W24" s="44"/>
    </row>
    <row r="25" spans="1:23" ht="12.75" customHeight="1" x14ac:dyDescent="0.25">
      <c r="A25" s="20" t="s">
        <v>981</v>
      </c>
      <c r="B25" s="90"/>
      <c r="C25" s="168">
        <v>502071</v>
      </c>
      <c r="D25" s="166">
        <v>350000</v>
      </c>
      <c r="E25" s="167">
        <v>279506</v>
      </c>
      <c r="F25" s="166">
        <v>350000</v>
      </c>
      <c r="G25" s="166">
        <v>400000</v>
      </c>
      <c r="H25" s="168">
        <f>G25</f>
        <v>400000</v>
      </c>
      <c r="I25" s="166">
        <v>400000</v>
      </c>
      <c r="J25" s="166">
        <f t="shared" ref="J25:K25" si="5">I25*1.05</f>
        <v>420000</v>
      </c>
      <c r="K25" s="167">
        <f t="shared" si="5"/>
        <v>441000</v>
      </c>
      <c r="L25" s="44"/>
      <c r="M25" s="44"/>
      <c r="N25" s="44"/>
      <c r="O25" s="44"/>
      <c r="P25" s="44"/>
      <c r="Q25" s="44"/>
      <c r="R25" s="44"/>
      <c r="S25" s="44"/>
      <c r="T25" s="44"/>
      <c r="U25" s="44"/>
      <c r="V25" s="44"/>
      <c r="W25" s="44"/>
    </row>
    <row r="26" spans="1:23" ht="12.75" customHeight="1" x14ac:dyDescent="0.25">
      <c r="A26" s="20" t="s">
        <v>138</v>
      </c>
      <c r="B26" s="90">
        <v>4</v>
      </c>
      <c r="C26" s="168"/>
      <c r="D26" s="166"/>
      <c r="E26" s="167"/>
      <c r="F26" s="166"/>
      <c r="G26" s="166"/>
      <c r="H26" s="168"/>
      <c r="I26" s="166"/>
      <c r="J26" s="166"/>
      <c r="K26" s="167"/>
      <c r="L26" s="44"/>
      <c r="M26" s="44"/>
      <c r="N26" s="44"/>
      <c r="O26" s="44"/>
      <c r="P26" s="44"/>
      <c r="Q26" s="44"/>
      <c r="R26" s="44"/>
      <c r="S26" s="44"/>
      <c r="T26" s="44"/>
      <c r="U26" s="44"/>
      <c r="V26" s="44"/>
      <c r="W26" s="44"/>
    </row>
    <row r="27" spans="1:23" ht="12.75" customHeight="1" x14ac:dyDescent="0.25">
      <c r="A27" s="20" t="s">
        <v>181</v>
      </c>
      <c r="B27" s="90"/>
      <c r="C27" s="168">
        <v>425506</v>
      </c>
      <c r="D27" s="166">
        <v>960000</v>
      </c>
      <c r="E27" s="167">
        <v>739042</v>
      </c>
      <c r="F27" s="166">
        <v>800000</v>
      </c>
      <c r="G27" s="166">
        <v>985000</v>
      </c>
      <c r="H27" s="168">
        <f t="shared" si="3"/>
        <v>985000</v>
      </c>
      <c r="I27" s="166">
        <v>750000</v>
      </c>
      <c r="J27" s="166">
        <f t="shared" ref="J27:K27" si="6">I27*1.05</f>
        <v>787500</v>
      </c>
      <c r="K27" s="167">
        <f t="shared" si="6"/>
        <v>826875</v>
      </c>
      <c r="L27" s="44"/>
      <c r="M27" s="44"/>
      <c r="N27" s="44"/>
      <c r="O27" s="44"/>
      <c r="P27" s="44"/>
      <c r="Q27" s="44"/>
      <c r="R27" s="44"/>
      <c r="S27" s="44"/>
      <c r="T27" s="44"/>
      <c r="U27" s="44"/>
      <c r="V27" s="44"/>
      <c r="W27" s="44"/>
    </row>
    <row r="28" spans="1:23" ht="12.75" customHeight="1" x14ac:dyDescent="0.25">
      <c r="A28" s="20" t="s">
        <v>19</v>
      </c>
      <c r="B28" s="90"/>
      <c r="C28" s="168">
        <v>6591</v>
      </c>
      <c r="D28" s="166">
        <v>9000</v>
      </c>
      <c r="E28" s="167">
        <v>2449</v>
      </c>
      <c r="F28" s="166">
        <v>9000</v>
      </c>
      <c r="G28" s="166">
        <v>9000</v>
      </c>
      <c r="H28" s="168">
        <f t="shared" si="3"/>
        <v>9000</v>
      </c>
      <c r="I28" s="166">
        <v>12000</v>
      </c>
      <c r="J28" s="166">
        <f t="shared" ref="J28:K28" si="7">I28*1.05</f>
        <v>12600</v>
      </c>
      <c r="K28" s="167">
        <f t="shared" si="7"/>
        <v>13230</v>
      </c>
      <c r="L28" s="44"/>
      <c r="M28" s="44"/>
      <c r="N28" s="44"/>
      <c r="O28" s="44"/>
      <c r="P28" s="44"/>
      <c r="Q28" s="44"/>
      <c r="R28" s="44"/>
      <c r="S28" s="44"/>
      <c r="T28" s="44"/>
      <c r="U28" s="44"/>
      <c r="V28" s="44"/>
      <c r="W28" s="44"/>
    </row>
    <row r="29" spans="1:23" ht="12.75" customHeight="1" x14ac:dyDescent="0.25">
      <c r="A29" s="20" t="s">
        <v>319</v>
      </c>
      <c r="B29" s="90">
        <v>2</v>
      </c>
      <c r="C29" s="168"/>
      <c r="D29" s="166"/>
      <c r="E29" s="167"/>
      <c r="F29" s="166"/>
      <c r="G29" s="166"/>
      <c r="H29" s="168"/>
      <c r="I29" s="166"/>
      <c r="J29" s="166"/>
      <c r="K29" s="167"/>
      <c r="L29" s="44"/>
      <c r="M29" s="44"/>
      <c r="N29" s="44"/>
      <c r="O29" s="44"/>
      <c r="P29" s="44"/>
      <c r="Q29" s="44"/>
      <c r="R29" s="44"/>
      <c r="S29" s="44"/>
      <c r="T29" s="44"/>
      <c r="U29" s="44"/>
      <c r="V29" s="44"/>
      <c r="W29" s="44"/>
    </row>
    <row r="30" spans="1:23" ht="12.75" customHeight="1" x14ac:dyDescent="0.25">
      <c r="A30" s="20" t="s">
        <v>358</v>
      </c>
      <c r="B30" s="90">
        <v>5</v>
      </c>
      <c r="C30" s="168"/>
      <c r="D30" s="166"/>
      <c r="E30" s="167"/>
      <c r="F30" s="166"/>
      <c r="G30" s="166"/>
      <c r="H30" s="168"/>
      <c r="I30" s="166"/>
      <c r="J30" s="166"/>
      <c r="K30" s="167"/>
      <c r="L30" s="44"/>
      <c r="M30" s="44"/>
      <c r="N30" s="44"/>
      <c r="O30" s="44"/>
      <c r="P30" s="44"/>
      <c r="Q30" s="44"/>
      <c r="R30" s="44"/>
      <c r="S30" s="44"/>
      <c r="T30" s="44"/>
      <c r="U30" s="44"/>
      <c r="V30" s="44"/>
      <c r="W30" s="44"/>
    </row>
    <row r="31" spans="1:23" ht="12.75" customHeight="1" x14ac:dyDescent="0.25">
      <c r="A31" s="20" t="s">
        <v>320</v>
      </c>
      <c r="B31" s="90"/>
      <c r="C31" s="168"/>
      <c r="D31" s="166"/>
      <c r="E31" s="167">
        <v>572108</v>
      </c>
      <c r="F31" s="166">
        <v>504000</v>
      </c>
      <c r="G31" s="166">
        <v>689000</v>
      </c>
      <c r="H31" s="168">
        <f t="shared" si="3"/>
        <v>689000</v>
      </c>
      <c r="I31" s="166">
        <v>860000</v>
      </c>
      <c r="J31" s="166">
        <f t="shared" ref="J31:K31" si="8">I31*1.05</f>
        <v>903000</v>
      </c>
      <c r="K31" s="167">
        <f t="shared" si="8"/>
        <v>948150</v>
      </c>
      <c r="L31" s="44"/>
      <c r="M31" s="44"/>
      <c r="N31" s="44"/>
      <c r="O31" s="44"/>
      <c r="P31" s="44"/>
      <c r="Q31" s="44"/>
      <c r="R31" s="44"/>
      <c r="S31" s="44"/>
      <c r="T31" s="44"/>
      <c r="U31" s="44"/>
      <c r="V31" s="44"/>
      <c r="W31" s="44"/>
    </row>
    <row r="32" spans="1:23" ht="12.75" customHeight="1" x14ac:dyDescent="0.25">
      <c r="A32" s="20" t="s">
        <v>854</v>
      </c>
      <c r="B32" s="90"/>
      <c r="C32" s="168"/>
      <c r="D32" s="166"/>
      <c r="E32" s="167"/>
      <c r="F32" s="166"/>
      <c r="G32" s="166"/>
      <c r="H32" s="168"/>
      <c r="I32" s="166"/>
      <c r="J32" s="166"/>
      <c r="K32" s="167"/>
      <c r="L32" s="44"/>
      <c r="M32" s="44"/>
      <c r="N32" s="44"/>
      <c r="O32" s="44"/>
      <c r="P32" s="44"/>
      <c r="Q32" s="44"/>
      <c r="R32" s="44"/>
      <c r="S32" s="44"/>
      <c r="T32" s="44"/>
      <c r="U32" s="44"/>
      <c r="V32" s="44"/>
      <c r="W32" s="44"/>
    </row>
    <row r="33" spans="1:23" ht="12.75" customHeight="1" x14ac:dyDescent="0.25">
      <c r="A33" s="20" t="s">
        <v>6</v>
      </c>
      <c r="B33" s="90">
        <v>3</v>
      </c>
      <c r="C33" s="168">
        <v>20561663</v>
      </c>
      <c r="D33" s="166">
        <v>7642627.1099999994</v>
      </c>
      <c r="E33" s="167">
        <v>5321575</v>
      </c>
      <c r="F33" s="166">
        <v>8215000</v>
      </c>
      <c r="G33" s="166">
        <f>9027500</f>
        <v>9027500</v>
      </c>
      <c r="H33" s="168">
        <f t="shared" si="3"/>
        <v>9027500</v>
      </c>
      <c r="I33" s="166">
        <v>6047000</v>
      </c>
      <c r="J33" s="166">
        <f>((I33*1.05)+1229000)+21000</f>
        <v>7599350</v>
      </c>
      <c r="K33" s="167">
        <f>(((J33*1.05)+3440450)+-1268400)+-22050</f>
        <v>10129317.5</v>
      </c>
      <c r="L33" s="44"/>
      <c r="M33" s="44"/>
      <c r="N33" s="44"/>
      <c r="O33" s="44"/>
      <c r="P33" s="44"/>
      <c r="Q33" s="44"/>
      <c r="R33" s="44"/>
      <c r="S33" s="44"/>
      <c r="T33" s="44"/>
      <c r="U33" s="44"/>
      <c r="V33" s="44"/>
      <c r="W33" s="44"/>
    </row>
    <row r="34" spans="1:23" ht="12.75" customHeight="1" x14ac:dyDescent="0.25">
      <c r="A34" s="20" t="s">
        <v>112</v>
      </c>
      <c r="B34" s="90"/>
      <c r="C34" s="171"/>
      <c r="D34" s="166"/>
      <c r="E34" s="167"/>
      <c r="F34" s="166"/>
      <c r="G34" s="166"/>
      <c r="H34" s="167"/>
      <c r="I34" s="168"/>
      <c r="J34" s="166"/>
      <c r="K34" s="167"/>
      <c r="L34" s="44"/>
      <c r="M34" s="44"/>
      <c r="N34" s="44"/>
      <c r="O34" s="44"/>
      <c r="P34" s="44"/>
      <c r="Q34" s="44"/>
      <c r="R34" s="44"/>
      <c r="S34" s="44"/>
      <c r="T34" s="44"/>
      <c r="U34" s="44"/>
      <c r="V34" s="44"/>
      <c r="W34" s="44"/>
    </row>
    <row r="35" spans="1:23" ht="12.75" customHeight="1" x14ac:dyDescent="0.25">
      <c r="A35" s="47" t="s">
        <v>47</v>
      </c>
      <c r="B35" s="107"/>
      <c r="C35" s="39">
        <f t="shared" ref="C35:K35" si="9">SUM(C24:C34)</f>
        <v>27936551</v>
      </c>
      <c r="D35" s="38">
        <f t="shared" si="9"/>
        <v>17938381.109999999</v>
      </c>
      <c r="E35" s="84">
        <f t="shared" si="9"/>
        <v>15694723</v>
      </c>
      <c r="F35" s="39">
        <f t="shared" si="9"/>
        <v>15307709</v>
      </c>
      <c r="G35" s="38">
        <f t="shared" si="9"/>
        <v>17634699</v>
      </c>
      <c r="H35" s="84">
        <f t="shared" si="9"/>
        <v>17634699</v>
      </c>
      <c r="I35" s="39">
        <f t="shared" si="9"/>
        <v>15700500</v>
      </c>
      <c r="J35" s="38">
        <f t="shared" si="9"/>
        <v>17735525</v>
      </c>
      <c r="K35" s="84">
        <f t="shared" si="9"/>
        <v>20772301.25</v>
      </c>
      <c r="L35" s="35"/>
      <c r="M35" s="35"/>
      <c r="N35" s="35"/>
      <c r="O35" s="35"/>
      <c r="P35" s="35"/>
      <c r="Q35" s="35"/>
      <c r="R35" s="35"/>
      <c r="S35" s="35"/>
      <c r="T35" s="35"/>
      <c r="U35" s="35"/>
      <c r="V35" s="35"/>
      <c r="W35" s="35"/>
    </row>
    <row r="36" spans="1:23" ht="5.0999999999999996" customHeight="1" x14ac:dyDescent="0.25">
      <c r="A36" s="45"/>
      <c r="B36" s="90"/>
      <c r="C36" s="24"/>
      <c r="D36" s="23"/>
      <c r="E36" s="83"/>
      <c r="F36" s="24"/>
      <c r="G36" s="23"/>
      <c r="H36" s="83"/>
      <c r="I36" s="24"/>
      <c r="J36" s="23"/>
      <c r="K36" s="83"/>
      <c r="L36" s="35"/>
      <c r="M36" s="35"/>
      <c r="N36" s="35"/>
      <c r="O36" s="35"/>
      <c r="P36" s="35"/>
      <c r="Q36" s="35"/>
      <c r="R36" s="35"/>
      <c r="S36" s="35"/>
      <c r="T36" s="35"/>
      <c r="U36" s="35"/>
      <c r="V36" s="35"/>
      <c r="W36" s="35"/>
    </row>
    <row r="37" spans="1:23" ht="12.75" customHeight="1" x14ac:dyDescent="0.25">
      <c r="A37" s="45" t="s">
        <v>48</v>
      </c>
      <c r="B37" s="90"/>
      <c r="C37" s="27">
        <f t="shared" ref="C37:K37" si="10">C21-C35</f>
        <v>1962516</v>
      </c>
      <c r="D37" s="26">
        <f t="shared" si="10"/>
        <v>-48.109999999403954</v>
      </c>
      <c r="E37" s="99">
        <f t="shared" si="10"/>
        <v>-6922377</v>
      </c>
      <c r="F37" s="27">
        <f t="shared" si="10"/>
        <v>-209</v>
      </c>
      <c r="G37" s="26">
        <f t="shared" si="10"/>
        <v>301</v>
      </c>
      <c r="H37" s="99">
        <f t="shared" si="10"/>
        <v>301</v>
      </c>
      <c r="I37" s="27">
        <f t="shared" si="10"/>
        <v>0</v>
      </c>
      <c r="J37" s="26">
        <f t="shared" si="10"/>
        <v>0</v>
      </c>
      <c r="K37" s="99">
        <f t="shared" si="10"/>
        <v>0</v>
      </c>
      <c r="L37" s="35"/>
      <c r="M37" s="35"/>
      <c r="N37" s="35"/>
      <c r="O37" s="35"/>
      <c r="P37" s="35"/>
      <c r="Q37" s="35"/>
      <c r="R37" s="35"/>
      <c r="S37" s="35"/>
      <c r="T37" s="35"/>
      <c r="U37" s="35"/>
      <c r="V37" s="35"/>
      <c r="W37" s="35"/>
    </row>
    <row r="38" spans="1:23" ht="26.25" customHeight="1" x14ac:dyDescent="0.25">
      <c r="A38" s="353" t="s">
        <v>855</v>
      </c>
      <c r="B38" s="90"/>
      <c r="C38" s="168"/>
      <c r="D38" s="166"/>
      <c r="E38" s="167"/>
      <c r="F38" s="166"/>
      <c r="G38" s="166"/>
      <c r="H38" s="168"/>
      <c r="I38" s="166">
        <v>0</v>
      </c>
      <c r="J38" s="166"/>
      <c r="K38" s="167"/>
      <c r="L38" s="35"/>
      <c r="M38" s="35"/>
      <c r="N38" s="35"/>
      <c r="O38" s="35"/>
      <c r="P38" s="35"/>
      <c r="Q38" s="35"/>
      <c r="R38" s="35"/>
      <c r="S38" s="35"/>
      <c r="T38" s="35"/>
      <c r="U38" s="35"/>
      <c r="V38" s="35"/>
      <c r="W38" s="35"/>
    </row>
    <row r="39" spans="1:23" ht="38.450000000000003" customHeight="1" x14ac:dyDescent="0.25">
      <c r="A39" s="353" t="s">
        <v>856</v>
      </c>
      <c r="B39" s="90"/>
      <c r="C39" s="168"/>
      <c r="D39" s="166"/>
      <c r="E39" s="167"/>
      <c r="F39" s="168"/>
      <c r="G39" s="166"/>
      <c r="H39" s="167"/>
      <c r="I39" s="168"/>
      <c r="J39" s="166"/>
      <c r="K39" s="167"/>
      <c r="L39" s="35"/>
      <c r="M39" s="35"/>
      <c r="N39" s="35"/>
      <c r="O39" s="35"/>
      <c r="P39" s="35"/>
      <c r="Q39" s="35"/>
      <c r="R39" s="35"/>
      <c r="S39" s="35"/>
      <c r="T39" s="35"/>
      <c r="U39" s="35"/>
      <c r="V39" s="35"/>
      <c r="W39" s="35"/>
    </row>
    <row r="40" spans="1:23" ht="12.75" customHeight="1" x14ac:dyDescent="0.25">
      <c r="A40" s="20" t="s">
        <v>857</v>
      </c>
      <c r="B40" s="90"/>
      <c r="C40" s="171"/>
      <c r="D40" s="169"/>
      <c r="E40" s="170"/>
      <c r="F40" s="171"/>
      <c r="G40" s="169"/>
      <c r="H40" s="170"/>
      <c r="I40" s="171"/>
      <c r="J40" s="169"/>
      <c r="K40" s="170"/>
      <c r="L40" s="35"/>
      <c r="M40" s="35"/>
      <c r="N40" s="35"/>
      <c r="O40" s="35"/>
      <c r="P40" s="35"/>
      <c r="Q40" s="35"/>
      <c r="R40" s="35"/>
      <c r="S40" s="35"/>
      <c r="T40" s="35"/>
      <c r="U40" s="35"/>
      <c r="V40" s="35"/>
      <c r="W40" s="35"/>
    </row>
    <row r="41" spans="1:23" ht="15" customHeight="1" x14ac:dyDescent="0.25">
      <c r="A41" s="223" t="s">
        <v>529</v>
      </c>
      <c r="B41" s="231"/>
      <c r="C41" s="165">
        <f t="shared" ref="C41:K41" si="11">SUM(C37:C40)</f>
        <v>1962516</v>
      </c>
      <c r="D41" s="163">
        <f t="shared" si="11"/>
        <v>-48.109999999403954</v>
      </c>
      <c r="E41" s="164">
        <f t="shared" si="11"/>
        <v>-6922377</v>
      </c>
      <c r="F41" s="165">
        <f t="shared" si="11"/>
        <v>-209</v>
      </c>
      <c r="G41" s="163">
        <f t="shared" si="11"/>
        <v>301</v>
      </c>
      <c r="H41" s="164">
        <f t="shared" si="11"/>
        <v>301</v>
      </c>
      <c r="I41" s="165">
        <f t="shared" si="11"/>
        <v>0</v>
      </c>
      <c r="J41" s="163">
        <f t="shared" si="11"/>
        <v>0</v>
      </c>
      <c r="K41" s="164">
        <f t="shared" si="11"/>
        <v>0</v>
      </c>
      <c r="L41" s="35"/>
      <c r="M41" s="35"/>
      <c r="N41" s="35"/>
      <c r="O41" s="35"/>
      <c r="P41" s="35"/>
      <c r="Q41" s="35"/>
      <c r="R41" s="35"/>
      <c r="S41" s="35"/>
      <c r="T41" s="35"/>
      <c r="U41" s="35"/>
      <c r="V41" s="35"/>
      <c r="W41" s="35"/>
    </row>
    <row r="42" spans="1:23" ht="12.75" customHeight="1" x14ac:dyDescent="0.25">
      <c r="A42" s="20" t="s">
        <v>30</v>
      </c>
      <c r="B42" s="162"/>
      <c r="C42" s="168"/>
      <c r="D42" s="166"/>
      <c r="E42" s="167"/>
      <c r="F42" s="168"/>
      <c r="G42" s="166"/>
      <c r="H42" s="167"/>
      <c r="I42" s="168"/>
      <c r="J42" s="166"/>
      <c r="K42" s="167"/>
      <c r="L42" s="35"/>
      <c r="M42" s="35"/>
      <c r="N42" s="35"/>
      <c r="O42" s="35"/>
      <c r="P42" s="35"/>
      <c r="Q42" s="35"/>
      <c r="R42" s="35"/>
      <c r="S42" s="35"/>
      <c r="T42" s="35"/>
      <c r="U42" s="35"/>
      <c r="V42" s="35"/>
      <c r="W42" s="35"/>
    </row>
    <row r="43" spans="1:23" ht="12.75" customHeight="1" x14ac:dyDescent="0.25">
      <c r="A43" s="28" t="s">
        <v>339</v>
      </c>
      <c r="B43" s="109"/>
      <c r="C43" s="30">
        <f>C41-C42</f>
        <v>1962516</v>
      </c>
      <c r="D43" s="29">
        <f t="shared" ref="D43:K43" si="12">D41-D42</f>
        <v>-48.109999999403954</v>
      </c>
      <c r="E43" s="29">
        <f t="shared" si="12"/>
        <v>-6922377</v>
      </c>
      <c r="F43" s="29">
        <f t="shared" si="12"/>
        <v>-209</v>
      </c>
      <c r="G43" s="29">
        <f t="shared" si="12"/>
        <v>301</v>
      </c>
      <c r="H43" s="29">
        <f t="shared" si="12"/>
        <v>301</v>
      </c>
      <c r="I43" s="29">
        <f t="shared" si="12"/>
        <v>0</v>
      </c>
      <c r="J43" s="29">
        <f t="shared" si="12"/>
        <v>0</v>
      </c>
      <c r="K43" s="29">
        <f t="shared" si="12"/>
        <v>0</v>
      </c>
      <c r="L43" s="35"/>
      <c r="M43" s="35"/>
      <c r="N43" s="35"/>
      <c r="O43" s="35"/>
      <c r="P43" s="35"/>
      <c r="Q43" s="35"/>
      <c r="R43" s="35"/>
      <c r="S43" s="35"/>
      <c r="T43" s="35"/>
      <c r="U43" s="35"/>
      <c r="V43" s="35"/>
      <c r="W43" s="35"/>
    </row>
    <row r="44" spans="1:23" ht="12.75" customHeight="1" x14ac:dyDescent="0.25">
      <c r="A44" s="31" t="s">
        <v>165</v>
      </c>
      <c r="B44" s="349"/>
      <c r="C44" s="350"/>
      <c r="D44" s="350"/>
      <c r="E44" s="350"/>
      <c r="F44" s="350"/>
      <c r="G44" s="350"/>
      <c r="H44" s="350"/>
      <c r="I44" s="350"/>
      <c r="J44" s="350"/>
      <c r="K44" s="350"/>
      <c r="L44" s="35"/>
      <c r="M44" s="35"/>
      <c r="N44" s="35"/>
      <c r="O44" s="35"/>
      <c r="P44" s="35"/>
      <c r="Q44" s="35"/>
      <c r="R44" s="35"/>
      <c r="S44" s="35"/>
      <c r="T44" s="35"/>
      <c r="U44" s="35"/>
      <c r="V44" s="35"/>
      <c r="W44" s="35"/>
    </row>
    <row r="45" spans="1:23" ht="12.75" customHeight="1" x14ac:dyDescent="0.25">
      <c r="A45" s="41" t="s">
        <v>58</v>
      </c>
      <c r="B45" s="349"/>
      <c r="C45" s="351"/>
      <c r="D45" s="351"/>
      <c r="E45" s="351"/>
      <c r="F45" s="351"/>
      <c r="G45" s="351"/>
      <c r="H45" s="351"/>
      <c r="I45" s="351"/>
      <c r="J45" s="351"/>
      <c r="K45" s="351"/>
      <c r="L45" s="35"/>
      <c r="M45" s="35"/>
      <c r="N45" s="35"/>
      <c r="O45" s="35"/>
      <c r="P45" s="35"/>
      <c r="Q45" s="35"/>
      <c r="R45" s="35"/>
      <c r="S45" s="35"/>
      <c r="T45" s="35"/>
      <c r="U45" s="35"/>
      <c r="V45" s="35"/>
      <c r="W45" s="35"/>
    </row>
    <row r="46" spans="1:23" ht="12.75" customHeight="1" x14ac:dyDescent="0.25">
      <c r="A46" s="41" t="s">
        <v>387</v>
      </c>
      <c r="B46" s="349"/>
      <c r="C46" s="351"/>
      <c r="D46" s="351"/>
      <c r="E46" s="351"/>
      <c r="F46" s="351"/>
      <c r="G46" s="351"/>
      <c r="H46" s="351"/>
      <c r="I46" s="351"/>
      <c r="J46" s="351"/>
      <c r="K46" s="351"/>
      <c r="L46" s="35"/>
      <c r="M46" s="35"/>
      <c r="N46" s="35"/>
      <c r="O46" s="35"/>
      <c r="P46" s="35"/>
      <c r="Q46" s="35"/>
      <c r="R46" s="35"/>
      <c r="S46" s="35"/>
      <c r="T46" s="35"/>
      <c r="U46" s="35"/>
      <c r="V46" s="35"/>
      <c r="W46" s="35"/>
    </row>
    <row r="47" spans="1:23" ht="12.75" customHeight="1" x14ac:dyDescent="0.25">
      <c r="A47" s="41" t="s">
        <v>57</v>
      </c>
      <c r="B47" s="349"/>
      <c r="C47" s="351"/>
      <c r="D47" s="351"/>
      <c r="E47" s="351"/>
      <c r="F47" s="351"/>
      <c r="G47" s="351"/>
      <c r="H47" s="351"/>
      <c r="I47" s="351"/>
      <c r="J47" s="351"/>
      <c r="K47" s="351"/>
      <c r="L47" s="35"/>
      <c r="M47" s="35"/>
      <c r="N47" s="35"/>
      <c r="O47" s="35"/>
      <c r="P47" s="35"/>
      <c r="Q47" s="35"/>
      <c r="R47" s="35"/>
      <c r="S47" s="35"/>
      <c r="T47" s="35"/>
      <c r="U47" s="35"/>
      <c r="V47" s="35"/>
      <c r="W47" s="35"/>
    </row>
    <row r="48" spans="1:23" ht="12.75" customHeight="1" x14ac:dyDescent="0.25">
      <c r="A48" s="41" t="s">
        <v>534</v>
      </c>
      <c r="B48" s="36"/>
      <c r="C48" s="351"/>
      <c r="D48" s="351"/>
      <c r="E48" s="351"/>
      <c r="F48" s="351"/>
      <c r="G48" s="351"/>
      <c r="H48" s="351"/>
      <c r="I48" s="351"/>
      <c r="J48" s="351"/>
      <c r="K48" s="351"/>
      <c r="L48" s="44"/>
      <c r="M48" s="44"/>
      <c r="N48" s="44"/>
      <c r="O48" s="44"/>
      <c r="P48" s="44"/>
      <c r="Q48" s="44"/>
      <c r="R48" s="44"/>
      <c r="S48" s="44"/>
      <c r="T48" s="44"/>
      <c r="U48" s="44"/>
      <c r="V48" s="44"/>
      <c r="W48" s="44"/>
    </row>
    <row r="49" spans="1:23" x14ac:dyDescent="0.25">
      <c r="A49" s="41" t="s">
        <v>532</v>
      </c>
      <c r="E49" s="44"/>
      <c r="F49" s="44"/>
      <c r="G49" s="44"/>
      <c r="H49" s="44"/>
      <c r="I49" s="44"/>
      <c r="J49" s="44"/>
      <c r="K49" s="44"/>
      <c r="L49" s="44"/>
      <c r="M49" s="44"/>
      <c r="N49" s="44"/>
      <c r="O49" s="44"/>
      <c r="P49" s="44"/>
      <c r="Q49" s="44"/>
      <c r="R49" s="44"/>
      <c r="S49" s="44"/>
      <c r="T49" s="44"/>
      <c r="U49" s="44"/>
      <c r="V49" s="44"/>
      <c r="W49" s="44"/>
    </row>
    <row r="50" spans="1:23" x14ac:dyDescent="0.25">
      <c r="A50" s="41" t="s">
        <v>533</v>
      </c>
      <c r="E50" s="44"/>
      <c r="F50" s="44"/>
      <c r="G50" s="44"/>
      <c r="H50" s="44"/>
      <c r="I50" s="44"/>
      <c r="J50" s="44"/>
      <c r="K50" s="44"/>
      <c r="L50" s="44"/>
      <c r="M50" s="44"/>
      <c r="N50" s="44"/>
      <c r="O50" s="44"/>
      <c r="P50" s="44"/>
      <c r="Q50" s="44"/>
      <c r="R50" s="44"/>
      <c r="S50" s="44"/>
      <c r="T50" s="44"/>
      <c r="U50" s="44"/>
      <c r="V50" s="44"/>
      <c r="W50" s="44"/>
    </row>
  </sheetData>
  <sheetProtection password="A35B" sheet="1" objects="1" scenarios="1"/>
  <phoneticPr fontId="2" type="noConversion"/>
  <printOptions horizontalCentered="1"/>
  <pageMargins left="0.35433070866141736" right="0.19685039370078741" top="0.78740157480314965" bottom="0.59055118110236227" header="0.51181102362204722" footer="0.39370078740157483"/>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7">
    <tabColor indexed="44"/>
    <pageSetUpPr fitToPage="1"/>
  </sheetPr>
  <dimension ref="A1:W222"/>
  <sheetViews>
    <sheetView showGridLines="0" zoomScaleNormal="100" workbookViewId="0">
      <pane xSplit="2" ySplit="3" topLeftCell="C161" activePane="bottomRight" state="frozen"/>
      <selection activeCell="A23" sqref="A23"/>
      <selection pane="topRight" activeCell="A23" sqref="A23"/>
      <selection pane="bottomLeft" activeCell="A23" sqref="A23"/>
      <selection pane="bottomRight" activeCell="K176" sqref="K176"/>
    </sheetView>
  </sheetViews>
  <sheetFormatPr defaultColWidth="9.140625" defaultRowHeight="12.75" x14ac:dyDescent="0.25"/>
  <cols>
    <col min="1" max="1" width="35.140625" style="17" customWidth="1"/>
    <col min="2" max="2" width="3.140625" style="32" customWidth="1"/>
    <col min="3" max="11" width="8.7109375" style="17" customWidth="1"/>
    <col min="12" max="12" width="9.85546875" style="17" customWidth="1"/>
    <col min="13" max="13" width="9.5703125" style="17" customWidth="1"/>
    <col min="14" max="14" width="9.85546875" style="17" customWidth="1"/>
    <col min="15" max="17" width="9.5703125" style="17" customWidth="1"/>
    <col min="18" max="18" width="9.85546875" style="17" customWidth="1"/>
    <col min="19" max="21" width="9.5703125" style="17" customWidth="1"/>
    <col min="22" max="23" width="9.85546875" style="17" customWidth="1"/>
    <col min="24" max="16384" width="9.140625" style="17"/>
  </cols>
  <sheetData>
    <row r="1" spans="1:12" ht="13.5" x14ac:dyDescent="0.25">
      <c r="A1" s="88" t="str">
        <f>_MEB2</f>
        <v>Harry Gwala Development Agency (Pty) Ltd - Table D3 Capital Budget by asset class and funding</v>
      </c>
    </row>
    <row r="2" spans="1:12" ht="25.5" x14ac:dyDescent="0.25">
      <c r="A2" s="301" t="str">
        <f>Vdesc</f>
        <v>Vote Description</v>
      </c>
      <c r="B2" s="303" t="str">
        <f>head27</f>
        <v>Ref</v>
      </c>
      <c r="C2" s="85" t="str">
        <f>head1b</f>
        <v>2015/16</v>
      </c>
      <c r="D2" s="18" t="str">
        <f>head1A</f>
        <v>2016/17</v>
      </c>
      <c r="E2" s="80" t="str">
        <f>Head1</f>
        <v>2017/18</v>
      </c>
      <c r="F2" s="519" t="str">
        <f>Head2</f>
        <v>Current Year 2018/19</v>
      </c>
      <c r="G2" s="520"/>
      <c r="H2" s="521"/>
      <c r="I2" s="106" t="str">
        <f>Head3a</f>
        <v>Medium Term Revenue and Expenditure Framework</v>
      </c>
      <c r="J2" s="104"/>
      <c r="K2" s="105"/>
    </row>
    <row r="3" spans="1:12" ht="38.25" x14ac:dyDescent="0.25">
      <c r="A3" s="121" t="s">
        <v>186</v>
      </c>
      <c r="B3" s="111">
        <v>1</v>
      </c>
      <c r="C3" s="101" t="str">
        <f>Head5</f>
        <v>Audited Outcome</v>
      </c>
      <c r="D3" s="79" t="str">
        <f>Head5</f>
        <v>Audited Outcome</v>
      </c>
      <c r="E3" s="300" t="str">
        <f>Head5</f>
        <v>Audited Outcome</v>
      </c>
      <c r="F3" s="299" t="str">
        <f>Head6</f>
        <v>Original Budget</v>
      </c>
      <c r="G3" s="102" t="str">
        <f>Head7</f>
        <v>Adjusted Budget</v>
      </c>
      <c r="H3" s="300" t="str">
        <f>Head8</f>
        <v>Full Year Forecast</v>
      </c>
      <c r="I3" s="299" t="str">
        <f>Head9</f>
        <v>Budget Year 2019/20</v>
      </c>
      <c r="J3" s="102" t="str">
        <f>Head10</f>
        <v>Budget Year +1 2020/21</v>
      </c>
      <c r="K3" s="300" t="str">
        <f>Head11</f>
        <v>Budget Year +2 2021/22</v>
      </c>
    </row>
    <row r="4" spans="1:12" ht="12.75" customHeight="1" x14ac:dyDescent="0.25">
      <c r="A4" s="19" t="s">
        <v>830</v>
      </c>
      <c r="B4" s="345"/>
      <c r="C4" s="24"/>
      <c r="D4" s="23"/>
      <c r="E4" s="83"/>
      <c r="F4" s="24"/>
      <c r="G4" s="23"/>
      <c r="H4" s="83"/>
      <c r="I4" s="24"/>
      <c r="J4" s="23"/>
      <c r="K4" s="83"/>
    </row>
    <row r="5" spans="1:12" ht="5.0999999999999996" customHeight="1" x14ac:dyDescent="0.25">
      <c r="A5" s="19"/>
      <c r="B5" s="345"/>
      <c r="C5" s="24"/>
      <c r="D5" s="23"/>
      <c r="E5" s="83"/>
      <c r="F5" s="24"/>
      <c r="G5" s="23"/>
      <c r="H5" s="83"/>
      <c r="I5" s="24"/>
      <c r="J5" s="23"/>
      <c r="K5" s="83"/>
    </row>
    <row r="6" spans="1:12" ht="13.15" customHeight="1" x14ac:dyDescent="0.25">
      <c r="A6" s="19" t="s">
        <v>162</v>
      </c>
      <c r="B6" s="237"/>
      <c r="C6" s="26">
        <f>C7+C12+C16+C26+C37+C44+C52+C62+C68</f>
        <v>0</v>
      </c>
      <c r="D6" s="26">
        <f t="shared" ref="D6:K6" si="0">D7+D12+D16+D26+D37+D44+D52+D62+D68</f>
        <v>0</v>
      </c>
      <c r="E6" s="233">
        <f t="shared" si="0"/>
        <v>0</v>
      </c>
      <c r="F6" s="232">
        <f t="shared" si="0"/>
        <v>0</v>
      </c>
      <c r="G6" s="26">
        <f t="shared" si="0"/>
        <v>0</v>
      </c>
      <c r="H6" s="25">
        <f t="shared" si="0"/>
        <v>0</v>
      </c>
      <c r="I6" s="232">
        <f t="shared" si="0"/>
        <v>0</v>
      </c>
      <c r="J6" s="26">
        <f t="shared" si="0"/>
        <v>0</v>
      </c>
      <c r="K6" s="233">
        <f t="shared" si="0"/>
        <v>0</v>
      </c>
    </row>
    <row r="7" spans="1:12" s="352" customFormat="1" ht="13.15" customHeight="1" x14ac:dyDescent="0.25">
      <c r="A7" s="20" t="s">
        <v>858</v>
      </c>
      <c r="B7" s="237"/>
      <c r="C7" s="48">
        <f t="shared" ref="C7:K7" si="1">SUM(C8:C11)</f>
        <v>0</v>
      </c>
      <c r="D7" s="48">
        <f t="shared" si="1"/>
        <v>0</v>
      </c>
      <c r="E7" s="317">
        <f t="shared" si="1"/>
        <v>0</v>
      </c>
      <c r="F7" s="49">
        <f t="shared" si="1"/>
        <v>0</v>
      </c>
      <c r="G7" s="48">
        <f t="shared" si="1"/>
        <v>0</v>
      </c>
      <c r="H7" s="100">
        <f t="shared" si="1"/>
        <v>0</v>
      </c>
      <c r="I7" s="49">
        <f t="shared" si="1"/>
        <v>0</v>
      </c>
      <c r="J7" s="48">
        <f t="shared" si="1"/>
        <v>0</v>
      </c>
      <c r="K7" s="100">
        <f t="shared" si="1"/>
        <v>0</v>
      </c>
      <c r="L7" s="17"/>
    </row>
    <row r="8" spans="1:12" s="352" customFormat="1" ht="13.15" customHeight="1" x14ac:dyDescent="0.25">
      <c r="A8" s="238" t="s">
        <v>510</v>
      </c>
      <c r="B8" s="380"/>
      <c r="C8" s="22">
        <f>SD7a!C8+SD7b!C8++SD7e!C8</f>
        <v>0</v>
      </c>
      <c r="D8" s="23">
        <f>SD7a!D8+SD7b!D8++SD7e!D8</f>
        <v>0</v>
      </c>
      <c r="E8" s="50">
        <f>SD7a!E8+SD7b!E8++SD7e!E8</f>
        <v>0</v>
      </c>
      <c r="F8" s="24">
        <f>SD7a!F8+SD7b!F8++SD7e!F8</f>
        <v>0</v>
      </c>
      <c r="G8" s="23">
        <f>SD7a!G8+SD7b!G8++SD7e!G8</f>
        <v>0</v>
      </c>
      <c r="H8" s="83">
        <f>SD7a!H8+SD7b!H8++SD7e!H8</f>
        <v>0</v>
      </c>
      <c r="I8" s="24">
        <f>SD7a!I8+SD7b!I8++SD7e!I8</f>
        <v>0</v>
      </c>
      <c r="J8" s="23">
        <f>SD7a!J8+SD7b!J8++SD7e!J8</f>
        <v>0</v>
      </c>
      <c r="K8" s="83">
        <f>SD7a!K8+SD7b!K8++SD7e!K8</f>
        <v>0</v>
      </c>
      <c r="L8" s="17"/>
    </row>
    <row r="9" spans="1:12" s="352" customFormat="1" ht="13.15" customHeight="1" x14ac:dyDescent="0.25">
      <c r="A9" s="238" t="s">
        <v>859</v>
      </c>
      <c r="B9" s="237"/>
      <c r="C9" s="22">
        <f>SD7a!C9+SD7b!C9++SD7e!C9</f>
        <v>0</v>
      </c>
      <c r="D9" s="23">
        <f>SD7a!D9+SD7b!D9++SD7e!D9</f>
        <v>0</v>
      </c>
      <c r="E9" s="50">
        <f>SD7a!E9+SD7b!E9++SD7e!E9</f>
        <v>0</v>
      </c>
      <c r="F9" s="24">
        <f>SD7a!F9+SD7b!F9++SD7e!F9</f>
        <v>0</v>
      </c>
      <c r="G9" s="23">
        <f>SD7a!G9+SD7b!G9++SD7e!G9</f>
        <v>0</v>
      </c>
      <c r="H9" s="83">
        <f>SD7a!H9+SD7b!H9++SD7e!H9</f>
        <v>0</v>
      </c>
      <c r="I9" s="24">
        <f>SD7a!I9+SD7b!I9++SD7e!I9</f>
        <v>0</v>
      </c>
      <c r="J9" s="23">
        <f>SD7a!J9+SD7b!J9++SD7e!J9</f>
        <v>0</v>
      </c>
      <c r="K9" s="83">
        <f>SD7a!K9+SD7b!K9++SD7e!K9</f>
        <v>0</v>
      </c>
      <c r="L9" s="358"/>
    </row>
    <row r="10" spans="1:12" s="352" customFormat="1" ht="13.15" customHeight="1" x14ac:dyDescent="0.25">
      <c r="A10" s="238" t="s">
        <v>860</v>
      </c>
      <c r="B10" s="237"/>
      <c r="C10" s="22">
        <f>SD7a!C10+SD7b!C10++SD7e!C10</f>
        <v>0</v>
      </c>
      <c r="D10" s="23">
        <f>SD7a!D10+SD7b!D10++SD7e!D10</f>
        <v>0</v>
      </c>
      <c r="E10" s="50">
        <f>SD7a!E10+SD7b!E10++SD7e!E10</f>
        <v>0</v>
      </c>
      <c r="F10" s="24">
        <f>SD7a!F10+SD7b!F10++SD7e!F10</f>
        <v>0</v>
      </c>
      <c r="G10" s="23">
        <f>SD7a!G10+SD7b!G10++SD7e!G10</f>
        <v>0</v>
      </c>
      <c r="H10" s="83">
        <f>SD7a!H10+SD7b!H10++SD7e!H10</f>
        <v>0</v>
      </c>
      <c r="I10" s="24">
        <f>SD7a!I10+SD7b!I10++SD7e!I10</f>
        <v>0</v>
      </c>
      <c r="J10" s="23">
        <f>SD7a!J10+SD7b!J10++SD7e!J10</f>
        <v>0</v>
      </c>
      <c r="K10" s="83">
        <f>SD7a!K10+SD7b!K10++SD7e!K10</f>
        <v>0</v>
      </c>
      <c r="L10" s="358"/>
    </row>
    <row r="11" spans="1:12" s="352" customFormat="1" ht="13.15" customHeight="1" x14ac:dyDescent="0.25">
      <c r="A11" s="238" t="s">
        <v>861</v>
      </c>
      <c r="B11" s="237"/>
      <c r="C11" s="22">
        <f>SD7a!C11+SD7b!C11++SD7e!C11</f>
        <v>0</v>
      </c>
      <c r="D11" s="23">
        <f>SD7a!D11+SD7b!D11++SD7e!D11</f>
        <v>0</v>
      </c>
      <c r="E11" s="50">
        <f>SD7a!E11+SD7b!E11++SD7e!E11</f>
        <v>0</v>
      </c>
      <c r="F11" s="24">
        <f>SD7a!F11+SD7b!F11++SD7e!F11</f>
        <v>0</v>
      </c>
      <c r="G11" s="23">
        <f>SD7a!G11+SD7b!G11++SD7e!G11</f>
        <v>0</v>
      </c>
      <c r="H11" s="83">
        <f>SD7a!H11+SD7b!H11++SD7e!H11</f>
        <v>0</v>
      </c>
      <c r="I11" s="24">
        <f>SD7a!I11+SD7b!I11++SD7e!I11</f>
        <v>0</v>
      </c>
      <c r="J11" s="23">
        <f>SD7a!J11+SD7b!J11++SD7e!J11</f>
        <v>0</v>
      </c>
      <c r="K11" s="83">
        <f>SD7a!K11+SD7b!K11++SD7e!K11</f>
        <v>0</v>
      </c>
      <c r="L11" s="358"/>
    </row>
    <row r="12" spans="1:12" s="352" customFormat="1" ht="13.15" customHeight="1" x14ac:dyDescent="0.25">
      <c r="A12" s="20" t="s">
        <v>862</v>
      </c>
      <c r="B12" s="237"/>
      <c r="C12" s="23">
        <f>SUM(C13:C15)</f>
        <v>0</v>
      </c>
      <c r="D12" s="23">
        <f t="shared" ref="D12:K12" si="2">SUM(D13:D15)</f>
        <v>0</v>
      </c>
      <c r="E12" s="50">
        <f t="shared" si="2"/>
        <v>0</v>
      </c>
      <c r="F12" s="24">
        <f t="shared" si="2"/>
        <v>0</v>
      </c>
      <c r="G12" s="23">
        <f t="shared" si="2"/>
        <v>0</v>
      </c>
      <c r="H12" s="83">
        <f t="shared" si="2"/>
        <v>0</v>
      </c>
      <c r="I12" s="319">
        <f t="shared" si="2"/>
        <v>0</v>
      </c>
      <c r="J12" s="23">
        <f t="shared" si="2"/>
        <v>0</v>
      </c>
      <c r="K12" s="83">
        <f t="shared" si="2"/>
        <v>0</v>
      </c>
      <c r="L12" s="358"/>
    </row>
    <row r="13" spans="1:12" s="352" customFormat="1" ht="13.15" customHeight="1" x14ac:dyDescent="0.25">
      <c r="A13" s="238" t="s">
        <v>863</v>
      </c>
      <c r="B13" s="237"/>
      <c r="C13" s="22">
        <f>SD7a!C13+SD7b!C13++SD7e!C13</f>
        <v>0</v>
      </c>
      <c r="D13" s="23">
        <f>SD7a!D13+SD7b!D13++SD7e!D13</f>
        <v>0</v>
      </c>
      <c r="E13" s="50">
        <f>SD7a!E13+SD7b!E13++SD7e!E13</f>
        <v>0</v>
      </c>
      <c r="F13" s="24">
        <f>SD7a!F13+SD7b!F13++SD7e!F13</f>
        <v>0</v>
      </c>
      <c r="G13" s="23">
        <f>SD7a!G13+SD7b!G13++SD7e!G13</f>
        <v>0</v>
      </c>
      <c r="H13" s="83">
        <f>SD7a!H13+SD7b!H13++SD7e!H13</f>
        <v>0</v>
      </c>
      <c r="I13" s="24">
        <f>SD7a!I13+SD7b!I13++SD7e!I13</f>
        <v>0</v>
      </c>
      <c r="J13" s="23">
        <f>SD7a!J13+SD7b!J13++SD7e!J13</f>
        <v>0</v>
      </c>
      <c r="K13" s="83">
        <f>SD7a!K13+SD7b!K13++SD7e!K13</f>
        <v>0</v>
      </c>
      <c r="L13" s="358"/>
    </row>
    <row r="14" spans="1:12" s="352" customFormat="1" ht="13.15" customHeight="1" x14ac:dyDescent="0.25">
      <c r="A14" s="238" t="s">
        <v>864</v>
      </c>
      <c r="B14" s="237"/>
      <c r="C14" s="22">
        <f>SD7a!C14+SD7b!C14++SD7e!C14</f>
        <v>0</v>
      </c>
      <c r="D14" s="23">
        <f>SD7a!D14+SD7b!D14++SD7e!D14</f>
        <v>0</v>
      </c>
      <c r="E14" s="50">
        <f>SD7a!E14+SD7b!E14++SD7e!E14</f>
        <v>0</v>
      </c>
      <c r="F14" s="24">
        <f>SD7a!F14+SD7b!F14++SD7e!F14</f>
        <v>0</v>
      </c>
      <c r="G14" s="23">
        <f>SD7a!G14+SD7b!G14++SD7e!G14</f>
        <v>0</v>
      </c>
      <c r="H14" s="83">
        <f>SD7a!H14+SD7b!H14++SD7e!H14</f>
        <v>0</v>
      </c>
      <c r="I14" s="24">
        <f>SD7a!I14+SD7b!I14++SD7e!I14</f>
        <v>0</v>
      </c>
      <c r="J14" s="23">
        <f>SD7a!J14+SD7b!J14++SD7e!J14</f>
        <v>0</v>
      </c>
      <c r="K14" s="83">
        <f>SD7a!K14+SD7b!K14++SD7e!K14</f>
        <v>0</v>
      </c>
      <c r="L14" s="358"/>
    </row>
    <row r="15" spans="1:12" s="352" customFormat="1" ht="13.15" customHeight="1" x14ac:dyDescent="0.25">
      <c r="A15" s="238" t="s">
        <v>865</v>
      </c>
      <c r="B15" s="237"/>
      <c r="C15" s="22">
        <f>SD7a!C15+SD7b!C15++SD7e!C15</f>
        <v>0</v>
      </c>
      <c r="D15" s="23">
        <f>SD7a!D15+SD7b!D15++SD7e!D15</f>
        <v>0</v>
      </c>
      <c r="E15" s="50">
        <f>SD7a!E15+SD7b!E15++SD7e!E15</f>
        <v>0</v>
      </c>
      <c r="F15" s="24">
        <f>SD7a!F15+SD7b!F15++SD7e!F15</f>
        <v>0</v>
      </c>
      <c r="G15" s="23">
        <f>SD7a!G15+SD7b!G15++SD7e!G15</f>
        <v>0</v>
      </c>
      <c r="H15" s="83">
        <f>SD7a!H15+SD7b!H15++SD7e!H15</f>
        <v>0</v>
      </c>
      <c r="I15" s="24">
        <f>SD7a!I15+SD7b!I15++SD7e!I15</f>
        <v>0</v>
      </c>
      <c r="J15" s="23">
        <f>SD7a!J15+SD7b!J15++SD7e!J15</f>
        <v>0</v>
      </c>
      <c r="K15" s="83">
        <f>SD7a!K15+SD7b!K15++SD7e!K15</f>
        <v>0</v>
      </c>
      <c r="L15" s="358"/>
    </row>
    <row r="16" spans="1:12" s="352" customFormat="1" ht="13.15" customHeight="1" x14ac:dyDescent="0.25">
      <c r="A16" s="20" t="s">
        <v>866</v>
      </c>
      <c r="B16" s="237"/>
      <c r="C16" s="23">
        <f t="shared" ref="C16:K16" si="3">SUM(C17:C25)</f>
        <v>0</v>
      </c>
      <c r="D16" s="23">
        <f t="shared" si="3"/>
        <v>0</v>
      </c>
      <c r="E16" s="50">
        <f t="shared" si="3"/>
        <v>0</v>
      </c>
      <c r="F16" s="24">
        <f t="shared" si="3"/>
        <v>0</v>
      </c>
      <c r="G16" s="23">
        <f t="shared" si="3"/>
        <v>0</v>
      </c>
      <c r="H16" s="83">
        <f t="shared" si="3"/>
        <v>0</v>
      </c>
      <c r="I16" s="319">
        <f t="shared" si="3"/>
        <v>0</v>
      </c>
      <c r="J16" s="23">
        <f t="shared" si="3"/>
        <v>0</v>
      </c>
      <c r="K16" s="83">
        <f t="shared" si="3"/>
        <v>0</v>
      </c>
      <c r="L16" s="358"/>
    </row>
    <row r="17" spans="1:12" s="352" customFormat="1" ht="13.15" customHeight="1" x14ac:dyDescent="0.25">
      <c r="A17" s="238" t="s">
        <v>867</v>
      </c>
      <c r="B17" s="237"/>
      <c r="C17" s="22">
        <f>SD7a!C17+SD7b!C17++SD7e!C17</f>
        <v>0</v>
      </c>
      <c r="D17" s="23">
        <f>SD7a!D17+SD7b!D17++SD7e!D17</f>
        <v>0</v>
      </c>
      <c r="E17" s="50">
        <f>SD7a!E17+SD7b!E17++SD7e!E17</f>
        <v>0</v>
      </c>
      <c r="F17" s="24">
        <f>SD7a!F17+SD7b!F17++SD7e!F17</f>
        <v>0</v>
      </c>
      <c r="G17" s="23">
        <f>SD7a!G17+SD7b!G17++SD7e!G17</f>
        <v>0</v>
      </c>
      <c r="H17" s="83">
        <f>SD7a!H17+SD7b!H17++SD7e!H17</f>
        <v>0</v>
      </c>
      <c r="I17" s="24">
        <f>SD7a!I17+SD7b!I17++SD7e!I17</f>
        <v>0</v>
      </c>
      <c r="J17" s="23">
        <f>SD7a!J17+SD7b!J17++SD7e!J17</f>
        <v>0</v>
      </c>
      <c r="K17" s="83">
        <f>SD7a!K17+SD7b!K17++SD7e!K17</f>
        <v>0</v>
      </c>
      <c r="L17" s="358"/>
    </row>
    <row r="18" spans="1:12" s="352" customFormat="1" ht="13.15" customHeight="1" x14ac:dyDescent="0.25">
      <c r="A18" s="238" t="s">
        <v>868</v>
      </c>
      <c r="B18" s="237"/>
      <c r="C18" s="22">
        <f>SD7a!C18+SD7b!C18++SD7e!C18</f>
        <v>0</v>
      </c>
      <c r="D18" s="23">
        <f>SD7a!D18+SD7b!D18++SD7e!D18</f>
        <v>0</v>
      </c>
      <c r="E18" s="50">
        <f>SD7a!E18+SD7b!E18++SD7e!E18</f>
        <v>0</v>
      </c>
      <c r="F18" s="24">
        <f>SD7a!F18+SD7b!F18++SD7e!F18</f>
        <v>0</v>
      </c>
      <c r="G18" s="23">
        <f>SD7a!G18+SD7b!G18++SD7e!G18</f>
        <v>0</v>
      </c>
      <c r="H18" s="83">
        <f>SD7a!H18+SD7b!H18++SD7e!H18</f>
        <v>0</v>
      </c>
      <c r="I18" s="24">
        <f>SD7a!I18+SD7b!I18++SD7e!I18</f>
        <v>0</v>
      </c>
      <c r="J18" s="23">
        <f>SD7a!J18+SD7b!J18++SD7e!J18</f>
        <v>0</v>
      </c>
      <c r="K18" s="83">
        <f>SD7a!K18+SD7b!K18++SD7e!K18</f>
        <v>0</v>
      </c>
      <c r="L18" s="358"/>
    </row>
    <row r="19" spans="1:12" s="352" customFormat="1" ht="13.15" customHeight="1" x14ac:dyDescent="0.25">
      <c r="A19" s="238" t="s">
        <v>869</v>
      </c>
      <c r="B19" s="237"/>
      <c r="C19" s="22">
        <f>SD7a!C19+SD7b!C19++SD7e!C19</f>
        <v>0</v>
      </c>
      <c r="D19" s="23">
        <f>SD7a!D19+SD7b!D19++SD7e!D19</f>
        <v>0</v>
      </c>
      <c r="E19" s="50">
        <f>SD7a!E19+SD7b!E19++SD7e!E19</f>
        <v>0</v>
      </c>
      <c r="F19" s="24">
        <f>SD7a!F19+SD7b!F19++SD7e!F19</f>
        <v>0</v>
      </c>
      <c r="G19" s="23">
        <f>SD7a!G19+SD7b!G19++SD7e!G19</f>
        <v>0</v>
      </c>
      <c r="H19" s="83">
        <f>SD7a!H19+SD7b!H19++SD7e!H19</f>
        <v>0</v>
      </c>
      <c r="I19" s="24">
        <f>SD7a!I19+SD7b!I19++SD7e!I19</f>
        <v>0</v>
      </c>
      <c r="J19" s="23">
        <f>SD7a!J19+SD7b!J19++SD7e!J19</f>
        <v>0</v>
      </c>
      <c r="K19" s="83">
        <f>SD7a!K19+SD7b!K19++SD7e!K19</f>
        <v>0</v>
      </c>
      <c r="L19" s="358"/>
    </row>
    <row r="20" spans="1:12" s="352" customFormat="1" ht="13.15" customHeight="1" x14ac:dyDescent="0.25">
      <c r="A20" s="238" t="s">
        <v>870</v>
      </c>
      <c r="B20" s="237"/>
      <c r="C20" s="22">
        <f>SD7a!C20+SD7b!C20++SD7e!C20</f>
        <v>0</v>
      </c>
      <c r="D20" s="23">
        <f>SD7a!D20+SD7b!D20++SD7e!D20</f>
        <v>0</v>
      </c>
      <c r="E20" s="50">
        <f>SD7a!E20+SD7b!E20++SD7e!E20</f>
        <v>0</v>
      </c>
      <c r="F20" s="24">
        <f>SD7a!F20+SD7b!F20++SD7e!F20</f>
        <v>0</v>
      </c>
      <c r="G20" s="23">
        <f>SD7a!G20+SD7b!G20++SD7e!G20</f>
        <v>0</v>
      </c>
      <c r="H20" s="83">
        <f>SD7a!H20+SD7b!H20++SD7e!H20</f>
        <v>0</v>
      </c>
      <c r="I20" s="24">
        <f>SD7a!I20+SD7b!I20++SD7e!I20</f>
        <v>0</v>
      </c>
      <c r="J20" s="23">
        <f>SD7a!J20+SD7b!J20++SD7e!J20</f>
        <v>0</v>
      </c>
      <c r="K20" s="83">
        <f>SD7a!K20+SD7b!K20++SD7e!K20</f>
        <v>0</v>
      </c>
      <c r="L20" s="358"/>
    </row>
    <row r="21" spans="1:12" s="352" customFormat="1" ht="13.15" customHeight="1" x14ac:dyDescent="0.25">
      <c r="A21" s="238" t="s">
        <v>871</v>
      </c>
      <c r="B21" s="237"/>
      <c r="C21" s="22">
        <f>SD7a!C21+SD7b!C21++SD7e!C21</f>
        <v>0</v>
      </c>
      <c r="D21" s="23">
        <f>SD7a!D21+SD7b!D21++SD7e!D21</f>
        <v>0</v>
      </c>
      <c r="E21" s="50">
        <f>SD7a!E21+SD7b!E21++SD7e!E21</f>
        <v>0</v>
      </c>
      <c r="F21" s="24">
        <f>SD7a!F21+SD7b!F21++SD7e!F21</f>
        <v>0</v>
      </c>
      <c r="G21" s="23">
        <f>SD7a!G21+SD7b!G21++SD7e!G21</f>
        <v>0</v>
      </c>
      <c r="H21" s="83">
        <f>SD7a!H21+SD7b!H21++SD7e!H21</f>
        <v>0</v>
      </c>
      <c r="I21" s="24">
        <f>SD7a!I21+SD7b!I21++SD7e!I21</f>
        <v>0</v>
      </c>
      <c r="J21" s="23">
        <f>SD7a!J21+SD7b!J21++SD7e!J21</f>
        <v>0</v>
      </c>
      <c r="K21" s="83">
        <f>SD7a!K21+SD7b!K21++SD7e!K21</f>
        <v>0</v>
      </c>
      <c r="L21" s="358"/>
    </row>
    <row r="22" spans="1:12" s="352" customFormat="1" ht="13.15" customHeight="1" x14ac:dyDescent="0.25">
      <c r="A22" s="238" t="s">
        <v>872</v>
      </c>
      <c r="B22" s="237"/>
      <c r="C22" s="22">
        <f>SD7a!C22+SD7b!C22++SD7e!C22</f>
        <v>0</v>
      </c>
      <c r="D22" s="23">
        <f>SD7a!D22+SD7b!D22++SD7e!D22</f>
        <v>0</v>
      </c>
      <c r="E22" s="50">
        <f>SD7a!E22+SD7b!E22++SD7e!E22</f>
        <v>0</v>
      </c>
      <c r="F22" s="24">
        <f>SD7a!F22+SD7b!F22++SD7e!F22</f>
        <v>0</v>
      </c>
      <c r="G22" s="23">
        <f>SD7a!G22+SD7b!G22++SD7e!G22</f>
        <v>0</v>
      </c>
      <c r="H22" s="83">
        <f>SD7a!H22+SD7b!H22++SD7e!H22</f>
        <v>0</v>
      </c>
      <c r="I22" s="24">
        <f>SD7a!I22+SD7b!I22++SD7e!I22</f>
        <v>0</v>
      </c>
      <c r="J22" s="23">
        <f>SD7a!J22+SD7b!J22++SD7e!J22</f>
        <v>0</v>
      </c>
      <c r="K22" s="83">
        <f>SD7a!K22+SD7b!K22++SD7e!K22</f>
        <v>0</v>
      </c>
      <c r="L22" s="17"/>
    </row>
    <row r="23" spans="1:12" s="352" customFormat="1" ht="13.15" customHeight="1" x14ac:dyDescent="0.25">
      <c r="A23" s="238" t="s">
        <v>873</v>
      </c>
      <c r="B23" s="237"/>
      <c r="C23" s="22">
        <f>SD7a!C23+SD7b!C23++SD7e!C23</f>
        <v>0</v>
      </c>
      <c r="D23" s="23">
        <f>SD7a!D23+SD7b!D23++SD7e!D23</f>
        <v>0</v>
      </c>
      <c r="E23" s="50">
        <f>SD7a!E23+SD7b!E23++SD7e!E23</f>
        <v>0</v>
      </c>
      <c r="F23" s="24">
        <f>SD7a!F23+SD7b!F23++SD7e!F23</f>
        <v>0</v>
      </c>
      <c r="G23" s="23">
        <f>SD7a!G23+SD7b!G23++SD7e!G23</f>
        <v>0</v>
      </c>
      <c r="H23" s="83">
        <f>SD7a!H23+SD7b!H23++SD7e!H23</f>
        <v>0</v>
      </c>
      <c r="I23" s="24">
        <f>SD7a!I23+SD7b!I23++SD7e!I23</f>
        <v>0</v>
      </c>
      <c r="J23" s="23">
        <f>SD7a!J23+SD7b!J23++SD7e!J23</f>
        <v>0</v>
      </c>
      <c r="K23" s="83">
        <f>SD7a!K23+SD7b!K23++SD7e!K23</f>
        <v>0</v>
      </c>
      <c r="L23" s="358"/>
    </row>
    <row r="24" spans="1:12" s="352" customFormat="1" ht="13.15" customHeight="1" x14ac:dyDescent="0.25">
      <c r="A24" s="238" t="s">
        <v>874</v>
      </c>
      <c r="B24" s="237"/>
      <c r="C24" s="22">
        <f>SD7a!C24+SD7b!C24++SD7e!C24</f>
        <v>0</v>
      </c>
      <c r="D24" s="23">
        <f>SD7a!D24+SD7b!D24++SD7e!D24</f>
        <v>0</v>
      </c>
      <c r="E24" s="50">
        <f>SD7a!E24+SD7b!E24++SD7e!E24</f>
        <v>0</v>
      </c>
      <c r="F24" s="24">
        <f>SD7a!F24+SD7b!F24++SD7e!F24</f>
        <v>0</v>
      </c>
      <c r="G24" s="23">
        <f>SD7a!G24+SD7b!G24++SD7e!G24</f>
        <v>0</v>
      </c>
      <c r="H24" s="83">
        <f>SD7a!H24+SD7b!H24++SD7e!H24</f>
        <v>0</v>
      </c>
      <c r="I24" s="24">
        <f>SD7a!I24+SD7b!I24++SD7e!I24</f>
        <v>0</v>
      </c>
      <c r="J24" s="23">
        <f>SD7a!J24+SD7b!J24++SD7e!J24</f>
        <v>0</v>
      </c>
      <c r="K24" s="83">
        <f>SD7a!K24+SD7b!K24++SD7e!K24</f>
        <v>0</v>
      </c>
      <c r="L24" s="358"/>
    </row>
    <row r="25" spans="1:12" s="352" customFormat="1" ht="13.15" customHeight="1" x14ac:dyDescent="0.25">
      <c r="A25" s="238" t="s">
        <v>861</v>
      </c>
      <c r="B25" s="237"/>
      <c r="C25" s="22">
        <f>SD7a!C25+SD7b!C25++SD7e!C25</f>
        <v>0</v>
      </c>
      <c r="D25" s="23">
        <f>SD7a!D25+SD7b!D25++SD7e!D25</f>
        <v>0</v>
      </c>
      <c r="E25" s="50">
        <f>SD7a!E25+SD7b!E25++SD7e!E25</f>
        <v>0</v>
      </c>
      <c r="F25" s="24">
        <f>SD7a!F25+SD7b!F25++SD7e!F25</f>
        <v>0</v>
      </c>
      <c r="G25" s="23">
        <f>SD7a!G25+SD7b!G25++SD7e!G25</f>
        <v>0</v>
      </c>
      <c r="H25" s="83">
        <f>SD7a!H25+SD7b!H25++SD7e!H25</f>
        <v>0</v>
      </c>
      <c r="I25" s="24">
        <f>SD7a!I25+SD7b!I25++SD7e!I25</f>
        <v>0</v>
      </c>
      <c r="J25" s="23">
        <f>SD7a!J25+SD7b!J25++SD7e!J25</f>
        <v>0</v>
      </c>
      <c r="K25" s="83">
        <f>SD7a!K25+SD7b!K25++SD7e!K25</f>
        <v>0</v>
      </c>
      <c r="L25" s="358"/>
    </row>
    <row r="26" spans="1:12" ht="13.15" customHeight="1" x14ac:dyDescent="0.25">
      <c r="A26" s="20" t="s">
        <v>875</v>
      </c>
      <c r="B26" s="237"/>
      <c r="C26" s="23">
        <f>SUM(C27:C36)</f>
        <v>0</v>
      </c>
      <c r="D26" s="23">
        <f t="shared" ref="D26:K26" si="4">SUM(D27:D36)</f>
        <v>0</v>
      </c>
      <c r="E26" s="50">
        <f t="shared" si="4"/>
        <v>0</v>
      </c>
      <c r="F26" s="24">
        <f t="shared" si="4"/>
        <v>0</v>
      </c>
      <c r="G26" s="23">
        <f t="shared" si="4"/>
        <v>0</v>
      </c>
      <c r="H26" s="83">
        <f t="shared" si="4"/>
        <v>0</v>
      </c>
      <c r="I26" s="319">
        <f t="shared" si="4"/>
        <v>0</v>
      </c>
      <c r="J26" s="23">
        <f t="shared" si="4"/>
        <v>0</v>
      </c>
      <c r="K26" s="83">
        <f t="shared" si="4"/>
        <v>0</v>
      </c>
    </row>
    <row r="27" spans="1:12" ht="13.15" customHeight="1" x14ac:dyDescent="0.25">
      <c r="A27" s="238" t="s">
        <v>876</v>
      </c>
      <c r="B27" s="237"/>
      <c r="C27" s="22">
        <f>SD7a!C27+SD7b!C27++SD7e!C27</f>
        <v>0</v>
      </c>
      <c r="D27" s="23">
        <f>SD7a!D27+SD7b!D27++SD7e!D27</f>
        <v>0</v>
      </c>
      <c r="E27" s="50">
        <f>SD7a!E27+SD7b!E27++SD7e!E27</f>
        <v>0</v>
      </c>
      <c r="F27" s="24">
        <f>SD7a!F27+SD7b!F27++SD7e!F27</f>
        <v>0</v>
      </c>
      <c r="G27" s="23">
        <f>SD7a!G27+SD7b!G27++SD7e!G27</f>
        <v>0</v>
      </c>
      <c r="H27" s="83">
        <f>SD7a!H27+SD7b!H27++SD7e!H27</f>
        <v>0</v>
      </c>
      <c r="I27" s="24">
        <f>SD7a!I27+SD7b!I27++SD7e!I27</f>
        <v>0</v>
      </c>
      <c r="J27" s="23">
        <f>SD7a!J27+SD7b!J27++SD7e!J27</f>
        <v>0</v>
      </c>
      <c r="K27" s="83">
        <f>SD7a!K27+SD7b!K27++SD7e!K27</f>
        <v>0</v>
      </c>
    </row>
    <row r="28" spans="1:12" ht="13.15" customHeight="1" x14ac:dyDescent="0.25">
      <c r="A28" s="238" t="s">
        <v>877</v>
      </c>
      <c r="B28" s="237"/>
      <c r="C28" s="22">
        <f>SD7a!C28+SD7b!C28++SD7e!C28</f>
        <v>0</v>
      </c>
      <c r="D28" s="23">
        <f>SD7a!D28+SD7b!D28++SD7e!D28</f>
        <v>0</v>
      </c>
      <c r="E28" s="50">
        <f>SD7a!E28+SD7b!E28++SD7e!E28</f>
        <v>0</v>
      </c>
      <c r="F28" s="24">
        <f>SD7a!F28+SD7b!F28++SD7e!F28</f>
        <v>0</v>
      </c>
      <c r="G28" s="23">
        <f>SD7a!G28+SD7b!G28++SD7e!G28</f>
        <v>0</v>
      </c>
      <c r="H28" s="83">
        <f>SD7a!H28+SD7b!H28++SD7e!H28</f>
        <v>0</v>
      </c>
      <c r="I28" s="24">
        <f>SD7a!I28+SD7b!I28++SD7e!I28</f>
        <v>0</v>
      </c>
      <c r="J28" s="23">
        <f>SD7a!J28+SD7b!J28++SD7e!J28</f>
        <v>0</v>
      </c>
      <c r="K28" s="83">
        <f>SD7a!K28+SD7b!K28++SD7e!K28</f>
        <v>0</v>
      </c>
      <c r="L28" s="358"/>
    </row>
    <row r="29" spans="1:12" ht="13.15" customHeight="1" x14ac:dyDescent="0.25">
      <c r="A29" s="238" t="s">
        <v>878</v>
      </c>
      <c r="B29" s="237"/>
      <c r="C29" s="22">
        <f>SD7a!C29+SD7b!C29++SD7e!C29</f>
        <v>0</v>
      </c>
      <c r="D29" s="23">
        <f>SD7a!D29+SD7b!D29++SD7e!D29</f>
        <v>0</v>
      </c>
      <c r="E29" s="50">
        <f>SD7a!E29+SD7b!E29++SD7e!E29</f>
        <v>0</v>
      </c>
      <c r="F29" s="24">
        <f>SD7a!F29+SD7b!F29++SD7e!F29</f>
        <v>0</v>
      </c>
      <c r="G29" s="23">
        <f>SD7a!G29+SD7b!G29++SD7e!G29</f>
        <v>0</v>
      </c>
      <c r="H29" s="83">
        <f>SD7a!H29+SD7b!H29++SD7e!H29</f>
        <v>0</v>
      </c>
      <c r="I29" s="24">
        <f>SD7a!I29+SD7b!I29++SD7e!I29</f>
        <v>0</v>
      </c>
      <c r="J29" s="23">
        <f>SD7a!J29+SD7b!J29++SD7e!J29</f>
        <v>0</v>
      </c>
      <c r="K29" s="83">
        <f>SD7a!K29+SD7b!K29++SD7e!K29</f>
        <v>0</v>
      </c>
      <c r="L29" s="358"/>
    </row>
    <row r="30" spans="1:12" ht="13.15" customHeight="1" x14ac:dyDescent="0.25">
      <c r="A30" s="238" t="s">
        <v>879</v>
      </c>
      <c r="B30" s="237"/>
      <c r="C30" s="22">
        <f>SD7a!C30+SD7b!C30++SD7e!C30</f>
        <v>0</v>
      </c>
      <c r="D30" s="23">
        <f>SD7a!D30+SD7b!D30++SD7e!D30</f>
        <v>0</v>
      </c>
      <c r="E30" s="50">
        <f>SD7a!E30+SD7b!E30++SD7e!E30</f>
        <v>0</v>
      </c>
      <c r="F30" s="24">
        <f>SD7a!F30+SD7b!F30++SD7e!F30</f>
        <v>0</v>
      </c>
      <c r="G30" s="23">
        <f>SD7a!G30+SD7b!G30++SD7e!G30</f>
        <v>0</v>
      </c>
      <c r="H30" s="83">
        <f>SD7a!H30+SD7b!H30++SD7e!H30</f>
        <v>0</v>
      </c>
      <c r="I30" s="24">
        <f>SD7a!I30+SD7b!I30++SD7e!I30</f>
        <v>0</v>
      </c>
      <c r="J30" s="23">
        <f>SD7a!J30+SD7b!J30++SD7e!J30</f>
        <v>0</v>
      </c>
      <c r="K30" s="83">
        <f>SD7a!K30+SD7b!K30++SD7e!K30</f>
        <v>0</v>
      </c>
      <c r="L30" s="358"/>
    </row>
    <row r="31" spans="1:12" ht="13.15" customHeight="1" x14ac:dyDescent="0.25">
      <c r="A31" s="238" t="s">
        <v>880</v>
      </c>
      <c r="B31" s="237"/>
      <c r="C31" s="22">
        <f>SD7a!C31+SD7b!C31++SD7e!C31</f>
        <v>0</v>
      </c>
      <c r="D31" s="23">
        <f>SD7a!D31+SD7b!D31++SD7e!D31</f>
        <v>0</v>
      </c>
      <c r="E31" s="50">
        <f>SD7a!E31+SD7b!E31++SD7e!E31</f>
        <v>0</v>
      </c>
      <c r="F31" s="24">
        <f>SD7a!F31+SD7b!F31++SD7e!F31</f>
        <v>0</v>
      </c>
      <c r="G31" s="23">
        <f>SD7a!G31+SD7b!G31++SD7e!G31</f>
        <v>0</v>
      </c>
      <c r="H31" s="83">
        <f>SD7a!H31+SD7b!H31++SD7e!H31</f>
        <v>0</v>
      </c>
      <c r="I31" s="24">
        <f>SD7a!I31+SD7b!I31++SD7e!I31</f>
        <v>0</v>
      </c>
      <c r="J31" s="23">
        <f>SD7a!J31+SD7b!J31++SD7e!J31</f>
        <v>0</v>
      </c>
      <c r="K31" s="83">
        <f>SD7a!K31+SD7b!K31++SD7e!K31</f>
        <v>0</v>
      </c>
      <c r="L31" s="358"/>
    </row>
    <row r="32" spans="1:12" ht="13.15" customHeight="1" x14ac:dyDescent="0.25">
      <c r="A32" s="238" t="s">
        <v>881</v>
      </c>
      <c r="B32" s="237"/>
      <c r="C32" s="22">
        <f>SD7a!C32+SD7b!C32++SD7e!C32</f>
        <v>0</v>
      </c>
      <c r="D32" s="23">
        <f>SD7a!D32+SD7b!D32++SD7e!D32</f>
        <v>0</v>
      </c>
      <c r="E32" s="50">
        <f>SD7a!E32+SD7b!E32++SD7e!E32</f>
        <v>0</v>
      </c>
      <c r="F32" s="24">
        <f>SD7a!F32+SD7b!F32++SD7e!F32</f>
        <v>0</v>
      </c>
      <c r="G32" s="23">
        <f>SD7a!G32+SD7b!G32++SD7e!G32</f>
        <v>0</v>
      </c>
      <c r="H32" s="83">
        <f>SD7a!H32+SD7b!H32++SD7e!H32</f>
        <v>0</v>
      </c>
      <c r="I32" s="24">
        <f>SD7a!I32+SD7b!I32++SD7e!I32</f>
        <v>0</v>
      </c>
      <c r="J32" s="23">
        <f>SD7a!J32+SD7b!J32++SD7e!J32</f>
        <v>0</v>
      </c>
      <c r="K32" s="83">
        <f>SD7a!K32+SD7b!K32++SD7e!K32</f>
        <v>0</v>
      </c>
      <c r="L32" s="358"/>
    </row>
    <row r="33" spans="1:12" ht="13.15" customHeight="1" x14ac:dyDescent="0.25">
      <c r="A33" s="238" t="s">
        <v>882</v>
      </c>
      <c r="B33" s="237"/>
      <c r="C33" s="22">
        <f>SD7a!C33+SD7b!C33++SD7e!C33</f>
        <v>0</v>
      </c>
      <c r="D33" s="23">
        <f>SD7a!D33+SD7b!D33++SD7e!D33</f>
        <v>0</v>
      </c>
      <c r="E33" s="50">
        <f>SD7a!E33+SD7b!E33++SD7e!E33</f>
        <v>0</v>
      </c>
      <c r="F33" s="24">
        <f>SD7a!F33+SD7b!F33++SD7e!F33</f>
        <v>0</v>
      </c>
      <c r="G33" s="23">
        <f>SD7a!G33+SD7b!G33++SD7e!G33</f>
        <v>0</v>
      </c>
      <c r="H33" s="83">
        <f>SD7a!H33+SD7b!H33++SD7e!H33</f>
        <v>0</v>
      </c>
      <c r="I33" s="24">
        <f>SD7a!I33+SD7b!I33++SD7e!I33</f>
        <v>0</v>
      </c>
      <c r="J33" s="23">
        <f>SD7a!J33+SD7b!J33++SD7e!J33</f>
        <v>0</v>
      </c>
      <c r="K33" s="83">
        <f>SD7a!K33+SD7b!K33++SD7e!K33</f>
        <v>0</v>
      </c>
      <c r="L33" s="358"/>
    </row>
    <row r="34" spans="1:12" ht="13.15" customHeight="1" x14ac:dyDescent="0.25">
      <c r="A34" s="238" t="s">
        <v>883</v>
      </c>
      <c r="B34" s="237"/>
      <c r="C34" s="22">
        <f>SD7a!C34+SD7b!C34++SD7e!C34</f>
        <v>0</v>
      </c>
      <c r="D34" s="23">
        <f>SD7a!D34+SD7b!D34++SD7e!D34</f>
        <v>0</v>
      </c>
      <c r="E34" s="50">
        <f>SD7a!E34+SD7b!E34++SD7e!E34</f>
        <v>0</v>
      </c>
      <c r="F34" s="24">
        <f>SD7a!F34+SD7b!F34++SD7e!F34</f>
        <v>0</v>
      </c>
      <c r="G34" s="23">
        <f>SD7a!G34+SD7b!G34++SD7e!G34</f>
        <v>0</v>
      </c>
      <c r="H34" s="83">
        <f>SD7a!H34+SD7b!H34++SD7e!H34</f>
        <v>0</v>
      </c>
      <c r="I34" s="24">
        <f>SD7a!I34+SD7b!I34++SD7e!I34</f>
        <v>0</v>
      </c>
      <c r="J34" s="23">
        <f>SD7a!J34+SD7b!J34++SD7e!J34</f>
        <v>0</v>
      </c>
      <c r="K34" s="83">
        <f>SD7a!K34+SD7b!K34++SD7e!K34</f>
        <v>0</v>
      </c>
      <c r="L34" s="358"/>
    </row>
    <row r="35" spans="1:12" ht="13.15" customHeight="1" x14ac:dyDescent="0.25">
      <c r="A35" s="238" t="s">
        <v>884</v>
      </c>
      <c r="B35" s="237"/>
      <c r="C35" s="22">
        <f>SD7a!C35+SD7b!C35++SD7e!C35</f>
        <v>0</v>
      </c>
      <c r="D35" s="23">
        <f>SD7a!D35+SD7b!D35++SD7e!D35</f>
        <v>0</v>
      </c>
      <c r="E35" s="50">
        <f>SD7a!E35+SD7b!E35++SD7e!E35</f>
        <v>0</v>
      </c>
      <c r="F35" s="24">
        <f>SD7a!F35+SD7b!F35++SD7e!F35</f>
        <v>0</v>
      </c>
      <c r="G35" s="23">
        <f>SD7a!G35+SD7b!G35++SD7e!G35</f>
        <v>0</v>
      </c>
      <c r="H35" s="83">
        <f>SD7a!H35+SD7b!H35++SD7e!H35</f>
        <v>0</v>
      </c>
      <c r="I35" s="24">
        <f>SD7a!I35+SD7b!I35++SD7e!I35</f>
        <v>0</v>
      </c>
      <c r="J35" s="23">
        <f>SD7a!J35+SD7b!J35++SD7e!J35</f>
        <v>0</v>
      </c>
      <c r="K35" s="83">
        <f>SD7a!K35+SD7b!K35++SD7e!K35</f>
        <v>0</v>
      </c>
      <c r="L35" s="358"/>
    </row>
    <row r="36" spans="1:12" ht="13.15" customHeight="1" x14ac:dyDescent="0.25">
      <c r="A36" s="238" t="s">
        <v>861</v>
      </c>
      <c r="B36" s="237"/>
      <c r="C36" s="22">
        <f>SD7a!C36+SD7b!C36++SD7e!C36</f>
        <v>0</v>
      </c>
      <c r="D36" s="23">
        <f>SD7a!D36+SD7b!D36++SD7e!D36</f>
        <v>0</v>
      </c>
      <c r="E36" s="50">
        <f>SD7a!E36+SD7b!E36++SD7e!E36</f>
        <v>0</v>
      </c>
      <c r="F36" s="24">
        <f>SD7a!F36+SD7b!F36++SD7e!F36</f>
        <v>0</v>
      </c>
      <c r="G36" s="23">
        <f>SD7a!G36+SD7b!G36++SD7e!G36</f>
        <v>0</v>
      </c>
      <c r="H36" s="83">
        <f>SD7a!H36+SD7b!H36++SD7e!H36</f>
        <v>0</v>
      </c>
      <c r="I36" s="24">
        <f>SD7a!I36+SD7b!I36++SD7e!I36</f>
        <v>0</v>
      </c>
      <c r="J36" s="23">
        <f>SD7a!J36+SD7b!J36++SD7e!J36</f>
        <v>0</v>
      </c>
      <c r="K36" s="83">
        <f>SD7a!K36+SD7b!K36++SD7e!K36</f>
        <v>0</v>
      </c>
      <c r="L36" s="358"/>
    </row>
    <row r="37" spans="1:12" ht="13.15" customHeight="1" x14ac:dyDescent="0.25">
      <c r="A37" s="20" t="s">
        <v>885</v>
      </c>
      <c r="B37" s="237"/>
      <c r="C37" s="23">
        <f>SUM(C38:C43)</f>
        <v>0</v>
      </c>
      <c r="D37" s="23">
        <f t="shared" ref="D37:K37" si="5">SUM(D38:D43)</f>
        <v>0</v>
      </c>
      <c r="E37" s="50">
        <f t="shared" si="5"/>
        <v>0</v>
      </c>
      <c r="F37" s="24">
        <f t="shared" si="5"/>
        <v>0</v>
      </c>
      <c r="G37" s="23">
        <f t="shared" si="5"/>
        <v>0</v>
      </c>
      <c r="H37" s="83">
        <f t="shared" si="5"/>
        <v>0</v>
      </c>
      <c r="I37" s="319">
        <f t="shared" si="5"/>
        <v>0</v>
      </c>
      <c r="J37" s="23">
        <f t="shared" si="5"/>
        <v>0</v>
      </c>
      <c r="K37" s="83">
        <f t="shared" si="5"/>
        <v>0</v>
      </c>
      <c r="L37" s="358"/>
    </row>
    <row r="38" spans="1:12" ht="13.15" customHeight="1" x14ac:dyDescent="0.25">
      <c r="A38" s="238" t="s">
        <v>886</v>
      </c>
      <c r="B38" s="237"/>
      <c r="C38" s="22">
        <f>SD7a!C38+SD7b!C38++SD7e!C38</f>
        <v>0</v>
      </c>
      <c r="D38" s="23">
        <f>SD7a!D38+SD7b!D38++SD7e!D38</f>
        <v>0</v>
      </c>
      <c r="E38" s="50">
        <f>SD7a!E38+SD7b!E38++SD7e!E38</f>
        <v>0</v>
      </c>
      <c r="F38" s="24">
        <f>SD7a!F38+SD7b!F38++SD7e!F38</f>
        <v>0</v>
      </c>
      <c r="G38" s="23">
        <f>SD7a!G38+SD7b!G38++SD7e!G38</f>
        <v>0</v>
      </c>
      <c r="H38" s="83">
        <f>SD7a!H38+SD7b!H38++SD7e!H38</f>
        <v>0</v>
      </c>
      <c r="I38" s="24">
        <f>SD7a!I38+SD7b!I38++SD7e!I38</f>
        <v>0</v>
      </c>
      <c r="J38" s="23">
        <f>SD7a!J38+SD7b!J38++SD7e!J38</f>
        <v>0</v>
      </c>
      <c r="K38" s="83">
        <f>SD7a!K38+SD7b!K38++SD7e!K38</f>
        <v>0</v>
      </c>
      <c r="L38" s="358"/>
    </row>
    <row r="39" spans="1:12" ht="13.15" customHeight="1" x14ac:dyDescent="0.25">
      <c r="A39" s="238" t="s">
        <v>500</v>
      </c>
      <c r="B39" s="237"/>
      <c r="C39" s="22">
        <f>SD7a!C39+SD7b!C39++SD7e!C39</f>
        <v>0</v>
      </c>
      <c r="D39" s="23">
        <f>SD7a!D39+SD7b!D39++SD7e!D39</f>
        <v>0</v>
      </c>
      <c r="E39" s="50">
        <f>SD7a!E39+SD7b!E39++SD7e!E39</f>
        <v>0</v>
      </c>
      <c r="F39" s="24">
        <f>SD7a!F39+SD7b!F39++SD7e!F39</f>
        <v>0</v>
      </c>
      <c r="G39" s="23">
        <f>SD7a!G39+SD7b!G39++SD7e!G39</f>
        <v>0</v>
      </c>
      <c r="H39" s="83">
        <f>SD7a!H39+SD7b!H39++SD7e!H39</f>
        <v>0</v>
      </c>
      <c r="I39" s="24">
        <f>SD7a!I39+SD7b!I39++SD7e!I39</f>
        <v>0</v>
      </c>
      <c r="J39" s="23">
        <f>SD7a!J39+SD7b!J39++SD7e!J39</f>
        <v>0</v>
      </c>
      <c r="K39" s="83">
        <f>SD7a!K39+SD7b!K39++SD7e!K39</f>
        <v>0</v>
      </c>
      <c r="L39" s="358"/>
    </row>
    <row r="40" spans="1:12" ht="13.15" customHeight="1" x14ac:dyDescent="0.25">
      <c r="A40" s="238" t="s">
        <v>887</v>
      </c>
      <c r="B40" s="237"/>
      <c r="C40" s="22">
        <f>SD7a!C40+SD7b!C40++SD7e!C40</f>
        <v>0</v>
      </c>
      <c r="D40" s="23">
        <f>SD7a!D40+SD7b!D40++SD7e!D40</f>
        <v>0</v>
      </c>
      <c r="E40" s="50">
        <f>SD7a!E40+SD7b!E40++SD7e!E40</f>
        <v>0</v>
      </c>
      <c r="F40" s="24">
        <f>SD7a!F40+SD7b!F40++SD7e!F40</f>
        <v>0</v>
      </c>
      <c r="G40" s="23">
        <f>SD7a!G40+SD7b!G40++SD7e!G40</f>
        <v>0</v>
      </c>
      <c r="H40" s="83">
        <f>SD7a!H40+SD7b!H40++SD7e!H40</f>
        <v>0</v>
      </c>
      <c r="I40" s="24">
        <f>SD7a!I40+SD7b!I40++SD7e!I40</f>
        <v>0</v>
      </c>
      <c r="J40" s="23">
        <f>SD7a!J40+SD7b!J40++SD7e!J40</f>
        <v>0</v>
      </c>
      <c r="K40" s="83">
        <f>SD7a!K40+SD7b!K40++SD7e!K40</f>
        <v>0</v>
      </c>
    </row>
    <row r="41" spans="1:12" ht="13.15" customHeight="1" x14ac:dyDescent="0.25">
      <c r="A41" s="238" t="s">
        <v>888</v>
      </c>
      <c r="B41" s="237"/>
      <c r="C41" s="22">
        <f>SD7a!C41+SD7b!C41++SD7e!C41</f>
        <v>0</v>
      </c>
      <c r="D41" s="23">
        <f>SD7a!D41+SD7b!D41++SD7e!D41</f>
        <v>0</v>
      </c>
      <c r="E41" s="50">
        <f>SD7a!E41+SD7b!E41++SD7e!E41</f>
        <v>0</v>
      </c>
      <c r="F41" s="24">
        <f>SD7a!F41+SD7b!F41++SD7e!F41</f>
        <v>0</v>
      </c>
      <c r="G41" s="23">
        <f>SD7a!G41+SD7b!G41++SD7e!G41</f>
        <v>0</v>
      </c>
      <c r="H41" s="83">
        <f>SD7a!H41+SD7b!H41++SD7e!H41</f>
        <v>0</v>
      </c>
      <c r="I41" s="24">
        <f>SD7a!I41+SD7b!I41++SD7e!I41</f>
        <v>0</v>
      </c>
      <c r="J41" s="23">
        <f>SD7a!J41+SD7b!J41++SD7e!J41</f>
        <v>0</v>
      </c>
      <c r="K41" s="83">
        <f>SD7a!K41+SD7b!K41++SD7e!K41</f>
        <v>0</v>
      </c>
      <c r="L41" s="358"/>
    </row>
    <row r="42" spans="1:12" ht="13.15" customHeight="1" x14ac:dyDescent="0.25">
      <c r="A42" s="238" t="s">
        <v>889</v>
      </c>
      <c r="B42" s="237"/>
      <c r="C42" s="22">
        <f>SD7a!C42+SD7b!C42++SD7e!C42</f>
        <v>0</v>
      </c>
      <c r="D42" s="23">
        <f>SD7a!D42+SD7b!D42++SD7e!D42</f>
        <v>0</v>
      </c>
      <c r="E42" s="50">
        <f>SD7a!E42+SD7b!E42++SD7e!E42</f>
        <v>0</v>
      </c>
      <c r="F42" s="24">
        <f>SD7a!F42+SD7b!F42++SD7e!F42</f>
        <v>0</v>
      </c>
      <c r="G42" s="23">
        <f>SD7a!G42+SD7b!G42++SD7e!G42</f>
        <v>0</v>
      </c>
      <c r="H42" s="83">
        <f>SD7a!H42+SD7b!H42++SD7e!H42</f>
        <v>0</v>
      </c>
      <c r="I42" s="24">
        <f>SD7a!I42+SD7b!I42++SD7e!I42</f>
        <v>0</v>
      </c>
      <c r="J42" s="23">
        <f>SD7a!J42+SD7b!J42++SD7e!J42</f>
        <v>0</v>
      </c>
      <c r="K42" s="83">
        <f>SD7a!K42+SD7b!K42++SD7e!K42</f>
        <v>0</v>
      </c>
    </row>
    <row r="43" spans="1:12" ht="13.15" customHeight="1" x14ac:dyDescent="0.25">
      <c r="A43" s="238" t="s">
        <v>861</v>
      </c>
      <c r="B43" s="237"/>
      <c r="C43" s="22">
        <f>SD7a!C43+SD7b!C43++SD7e!C43</f>
        <v>0</v>
      </c>
      <c r="D43" s="23">
        <f>SD7a!D43+SD7b!D43++SD7e!D43</f>
        <v>0</v>
      </c>
      <c r="E43" s="50">
        <f>SD7a!E43+SD7b!E43++SD7e!E43</f>
        <v>0</v>
      </c>
      <c r="F43" s="24">
        <f>SD7a!F43+SD7b!F43++SD7e!F43</f>
        <v>0</v>
      </c>
      <c r="G43" s="23">
        <f>SD7a!G43+SD7b!G43++SD7e!G43</f>
        <v>0</v>
      </c>
      <c r="H43" s="83">
        <f>SD7a!H43+SD7b!H43++SD7e!H43</f>
        <v>0</v>
      </c>
      <c r="I43" s="24">
        <f>SD7a!I43+SD7b!I43++SD7e!I43</f>
        <v>0</v>
      </c>
      <c r="J43" s="23">
        <f>SD7a!J43+SD7b!J43++SD7e!J43</f>
        <v>0</v>
      </c>
      <c r="K43" s="83">
        <f>SD7a!K43+SD7b!K43++SD7e!K43</f>
        <v>0</v>
      </c>
    </row>
    <row r="44" spans="1:12" ht="13.15" customHeight="1" x14ac:dyDescent="0.25">
      <c r="A44" s="20" t="s">
        <v>890</v>
      </c>
      <c r="B44" s="237"/>
      <c r="C44" s="23">
        <f>SUM(C45:C51)</f>
        <v>0</v>
      </c>
      <c r="D44" s="23">
        <f t="shared" ref="D44:K44" si="6">SUM(D45:D51)</f>
        <v>0</v>
      </c>
      <c r="E44" s="50">
        <f t="shared" si="6"/>
        <v>0</v>
      </c>
      <c r="F44" s="24">
        <f t="shared" si="6"/>
        <v>0</v>
      </c>
      <c r="G44" s="23">
        <f t="shared" si="6"/>
        <v>0</v>
      </c>
      <c r="H44" s="83">
        <f t="shared" si="6"/>
        <v>0</v>
      </c>
      <c r="I44" s="319">
        <f t="shared" si="6"/>
        <v>0</v>
      </c>
      <c r="J44" s="23">
        <f t="shared" si="6"/>
        <v>0</v>
      </c>
      <c r="K44" s="83">
        <f t="shared" si="6"/>
        <v>0</v>
      </c>
    </row>
    <row r="45" spans="1:12" ht="13.15" customHeight="1" x14ac:dyDescent="0.25">
      <c r="A45" s="238" t="s">
        <v>891</v>
      </c>
      <c r="B45" s="237"/>
      <c r="C45" s="22">
        <f>SD7a!C45+SD7b!C45++SD7e!C45</f>
        <v>0</v>
      </c>
      <c r="D45" s="23">
        <f>SD7a!D45+SD7b!D45++SD7e!D45</f>
        <v>0</v>
      </c>
      <c r="E45" s="50">
        <f>SD7a!E45+SD7b!E45++SD7e!E45</f>
        <v>0</v>
      </c>
      <c r="F45" s="24">
        <f>SD7a!F45+SD7b!F45++SD7e!F45</f>
        <v>0</v>
      </c>
      <c r="G45" s="23">
        <f>SD7a!G45+SD7b!G45++SD7e!G45</f>
        <v>0</v>
      </c>
      <c r="H45" s="83">
        <f>SD7a!H45+SD7b!H45++SD7e!H45</f>
        <v>0</v>
      </c>
      <c r="I45" s="24">
        <f>SD7a!I45+SD7b!I45++SD7e!I45</f>
        <v>0</v>
      </c>
      <c r="J45" s="23">
        <f>SD7a!J45+SD7b!J45++SD7e!J45</f>
        <v>0</v>
      </c>
      <c r="K45" s="83">
        <f>SD7a!K45+SD7b!K45++SD7e!K45</f>
        <v>0</v>
      </c>
    </row>
    <row r="46" spans="1:12" ht="13.15" customHeight="1" x14ac:dyDescent="0.25">
      <c r="A46" s="238" t="s">
        <v>892</v>
      </c>
      <c r="B46" s="237"/>
      <c r="C46" s="22">
        <f>SD7a!C46+SD7b!C46++SD7e!C46</f>
        <v>0</v>
      </c>
      <c r="D46" s="23">
        <f>SD7a!D46+SD7b!D46++SD7e!D46</f>
        <v>0</v>
      </c>
      <c r="E46" s="50">
        <f>SD7a!E46+SD7b!E46++SD7e!E46</f>
        <v>0</v>
      </c>
      <c r="F46" s="24">
        <f>SD7a!F46+SD7b!F46++SD7e!F46</f>
        <v>0</v>
      </c>
      <c r="G46" s="23">
        <f>SD7a!G46+SD7b!G46++SD7e!G46</f>
        <v>0</v>
      </c>
      <c r="H46" s="83">
        <f>SD7a!H46+SD7b!H46++SD7e!H46</f>
        <v>0</v>
      </c>
      <c r="I46" s="24">
        <f>SD7a!I46+SD7b!I46++SD7e!I46</f>
        <v>0</v>
      </c>
      <c r="J46" s="23">
        <f>SD7a!J46+SD7b!J46++SD7e!J46</f>
        <v>0</v>
      </c>
      <c r="K46" s="83">
        <f>SD7a!K46+SD7b!K46++SD7e!K46</f>
        <v>0</v>
      </c>
    </row>
    <row r="47" spans="1:12" ht="13.15" customHeight="1" x14ac:dyDescent="0.25">
      <c r="A47" s="238" t="s">
        <v>893</v>
      </c>
      <c r="B47" s="237"/>
      <c r="C47" s="22">
        <f>SD7a!C47+SD7b!C47++SD7e!C47</f>
        <v>0</v>
      </c>
      <c r="D47" s="23">
        <f>SD7a!D47+SD7b!D47++SD7e!D47</f>
        <v>0</v>
      </c>
      <c r="E47" s="50">
        <f>SD7a!E47+SD7b!E47++SD7e!E47</f>
        <v>0</v>
      </c>
      <c r="F47" s="24">
        <f>SD7a!F47+SD7b!F47++SD7e!F47</f>
        <v>0</v>
      </c>
      <c r="G47" s="23">
        <f>SD7a!G47+SD7b!G47++SD7e!G47</f>
        <v>0</v>
      </c>
      <c r="H47" s="83">
        <f>SD7a!H47+SD7b!H47++SD7e!H47</f>
        <v>0</v>
      </c>
      <c r="I47" s="24">
        <f>SD7a!I47+SD7b!I47++SD7e!I47</f>
        <v>0</v>
      </c>
      <c r="J47" s="23">
        <f>SD7a!J47+SD7b!J47++SD7e!J47</f>
        <v>0</v>
      </c>
      <c r="K47" s="83">
        <f>SD7a!K47+SD7b!K47++SD7e!K47</f>
        <v>0</v>
      </c>
    </row>
    <row r="48" spans="1:12" ht="13.15" customHeight="1" x14ac:dyDescent="0.25">
      <c r="A48" s="238" t="s">
        <v>894</v>
      </c>
      <c r="B48" s="237"/>
      <c r="C48" s="22">
        <f>SD7a!C48+SD7b!C48++SD7e!C48</f>
        <v>0</v>
      </c>
      <c r="D48" s="23">
        <f>SD7a!D48+SD7b!D48++SD7e!D48</f>
        <v>0</v>
      </c>
      <c r="E48" s="50">
        <f>SD7a!E48+SD7b!E48++SD7e!E48</f>
        <v>0</v>
      </c>
      <c r="F48" s="24">
        <f>SD7a!F48+SD7b!F48++SD7e!F48</f>
        <v>0</v>
      </c>
      <c r="G48" s="23">
        <f>SD7a!G48+SD7b!G48++SD7e!G48</f>
        <v>0</v>
      </c>
      <c r="H48" s="83">
        <f>SD7a!H48+SD7b!H48++SD7e!H48</f>
        <v>0</v>
      </c>
      <c r="I48" s="24">
        <f>SD7a!I48+SD7b!I48++SD7e!I48</f>
        <v>0</v>
      </c>
      <c r="J48" s="23">
        <f>SD7a!J48+SD7b!J48++SD7e!J48</f>
        <v>0</v>
      </c>
      <c r="K48" s="83">
        <f>SD7a!K48+SD7b!K48++SD7e!K48</f>
        <v>0</v>
      </c>
      <c r="L48" s="358"/>
    </row>
    <row r="49" spans="1:12" ht="13.15" customHeight="1" x14ac:dyDescent="0.25">
      <c r="A49" s="238" t="s">
        <v>895</v>
      </c>
      <c r="B49" s="237"/>
      <c r="C49" s="22">
        <f>SD7a!C49+SD7b!C49++SD7e!C49</f>
        <v>0</v>
      </c>
      <c r="D49" s="23">
        <f>SD7a!D49+SD7b!D49++SD7e!D49</f>
        <v>0</v>
      </c>
      <c r="E49" s="50">
        <f>SD7a!E49+SD7b!E49++SD7e!E49</f>
        <v>0</v>
      </c>
      <c r="F49" s="24">
        <f>SD7a!F49+SD7b!F49++SD7e!F49</f>
        <v>0</v>
      </c>
      <c r="G49" s="23">
        <f>SD7a!G49+SD7b!G49++SD7e!G49</f>
        <v>0</v>
      </c>
      <c r="H49" s="83">
        <f>SD7a!H49+SD7b!H49++SD7e!H49</f>
        <v>0</v>
      </c>
      <c r="I49" s="24">
        <f>SD7a!I49+SD7b!I49++SD7e!I49</f>
        <v>0</v>
      </c>
      <c r="J49" s="23">
        <f>SD7a!J49+SD7b!J49++SD7e!J49</f>
        <v>0</v>
      </c>
      <c r="K49" s="83">
        <f>SD7a!K49+SD7b!K49++SD7e!K49</f>
        <v>0</v>
      </c>
    </row>
    <row r="50" spans="1:12" ht="13.15" customHeight="1" x14ac:dyDescent="0.25">
      <c r="A50" s="238" t="s">
        <v>896</v>
      </c>
      <c r="B50" s="237"/>
      <c r="C50" s="22">
        <f>SD7a!C50+SD7b!C50++SD7e!C50</f>
        <v>0</v>
      </c>
      <c r="D50" s="23">
        <f>SD7a!D50+SD7b!D50++SD7e!D50</f>
        <v>0</v>
      </c>
      <c r="E50" s="50">
        <f>SD7a!E50+SD7b!E50++SD7e!E50</f>
        <v>0</v>
      </c>
      <c r="F50" s="24">
        <f>SD7a!F50+SD7b!F50++SD7e!F50</f>
        <v>0</v>
      </c>
      <c r="G50" s="23">
        <f>SD7a!G50+SD7b!G50++SD7e!G50</f>
        <v>0</v>
      </c>
      <c r="H50" s="83">
        <f>SD7a!H50+SD7b!H50++SD7e!H50</f>
        <v>0</v>
      </c>
      <c r="I50" s="24">
        <f>SD7a!I50+SD7b!I50++SD7e!I50</f>
        <v>0</v>
      </c>
      <c r="J50" s="23">
        <f>SD7a!J50+SD7b!J50++SD7e!J50</f>
        <v>0</v>
      </c>
      <c r="K50" s="83">
        <f>SD7a!K50+SD7b!K50++SD7e!K50</f>
        <v>0</v>
      </c>
    </row>
    <row r="51" spans="1:12" ht="13.15" customHeight="1" x14ac:dyDescent="0.25">
      <c r="A51" s="238" t="s">
        <v>861</v>
      </c>
      <c r="B51" s="237"/>
      <c r="C51" s="22">
        <f>SD7a!C51+SD7b!C51++SD7e!C51</f>
        <v>0</v>
      </c>
      <c r="D51" s="23">
        <f>SD7a!D51+SD7b!D51++SD7e!D51</f>
        <v>0</v>
      </c>
      <c r="E51" s="50">
        <f>SD7a!E51+SD7b!E51++SD7e!E51</f>
        <v>0</v>
      </c>
      <c r="F51" s="24">
        <f>SD7a!F51+SD7b!F51++SD7e!F51</f>
        <v>0</v>
      </c>
      <c r="G51" s="23">
        <f>SD7a!G51+SD7b!G51++SD7e!G51</f>
        <v>0</v>
      </c>
      <c r="H51" s="83">
        <f>SD7a!H51+SD7b!H51++SD7e!H51</f>
        <v>0</v>
      </c>
      <c r="I51" s="24">
        <f>SD7a!I51+SD7b!I51++SD7e!I51</f>
        <v>0</v>
      </c>
      <c r="J51" s="23">
        <f>SD7a!J51+SD7b!J51++SD7e!J51</f>
        <v>0</v>
      </c>
      <c r="K51" s="83">
        <f>SD7a!K51+SD7b!K51++SD7e!K51</f>
        <v>0</v>
      </c>
    </row>
    <row r="52" spans="1:12" ht="13.15" customHeight="1" x14ac:dyDescent="0.25">
      <c r="A52" s="20" t="s">
        <v>897</v>
      </c>
      <c r="B52" s="237"/>
      <c r="C52" s="23">
        <f t="shared" ref="C52:K52" si="7">SUM(C53:C61)</f>
        <v>0</v>
      </c>
      <c r="D52" s="23">
        <f t="shared" si="7"/>
        <v>0</v>
      </c>
      <c r="E52" s="50">
        <f t="shared" si="7"/>
        <v>0</v>
      </c>
      <c r="F52" s="24">
        <f t="shared" si="7"/>
        <v>0</v>
      </c>
      <c r="G52" s="23">
        <f t="shared" si="7"/>
        <v>0</v>
      </c>
      <c r="H52" s="83">
        <f t="shared" si="7"/>
        <v>0</v>
      </c>
      <c r="I52" s="319">
        <f t="shared" si="7"/>
        <v>0</v>
      </c>
      <c r="J52" s="23">
        <f t="shared" si="7"/>
        <v>0</v>
      </c>
      <c r="K52" s="83">
        <f t="shared" si="7"/>
        <v>0</v>
      </c>
      <c r="L52" s="358"/>
    </row>
    <row r="53" spans="1:12" ht="13.15" customHeight="1" x14ac:dyDescent="0.25">
      <c r="A53" s="238" t="s">
        <v>898</v>
      </c>
      <c r="B53" s="237"/>
      <c r="C53" s="22">
        <f>SD7a!C53+SD7b!C53++SD7e!C53</f>
        <v>0</v>
      </c>
      <c r="D53" s="23">
        <f>SD7a!D53+SD7b!D53++SD7e!D53</f>
        <v>0</v>
      </c>
      <c r="E53" s="50">
        <f>SD7a!E53+SD7b!E53++SD7e!E53</f>
        <v>0</v>
      </c>
      <c r="F53" s="24">
        <f>SD7a!F53+SD7b!F53++SD7e!F53</f>
        <v>0</v>
      </c>
      <c r="G53" s="23">
        <f>SD7a!G53+SD7b!G53++SD7e!G53</f>
        <v>0</v>
      </c>
      <c r="H53" s="83">
        <f>SD7a!H53+SD7b!H53++SD7e!H53</f>
        <v>0</v>
      </c>
      <c r="I53" s="24">
        <f>SD7a!I53+SD7b!I53++SD7e!I53</f>
        <v>0</v>
      </c>
      <c r="J53" s="23">
        <f>SD7a!J53+SD7b!J53++SD7e!J53</f>
        <v>0</v>
      </c>
      <c r="K53" s="83">
        <f>SD7a!K53+SD7b!K53++SD7e!K53</f>
        <v>0</v>
      </c>
    </row>
    <row r="54" spans="1:12" ht="13.15" customHeight="1" x14ac:dyDescent="0.25">
      <c r="A54" s="238" t="s">
        <v>899</v>
      </c>
      <c r="B54" s="237"/>
      <c r="C54" s="22">
        <f>SD7a!C54+SD7b!C54++SD7e!C54</f>
        <v>0</v>
      </c>
      <c r="D54" s="23">
        <f>SD7a!D54+SD7b!D54++SD7e!D54</f>
        <v>0</v>
      </c>
      <c r="E54" s="50">
        <f>SD7a!E54+SD7b!E54++SD7e!E54</f>
        <v>0</v>
      </c>
      <c r="F54" s="24">
        <f>SD7a!F54+SD7b!F54++SD7e!F54</f>
        <v>0</v>
      </c>
      <c r="G54" s="23">
        <f>SD7a!G54+SD7b!G54++SD7e!G54</f>
        <v>0</v>
      </c>
      <c r="H54" s="83">
        <f>SD7a!H54+SD7b!H54++SD7e!H54</f>
        <v>0</v>
      </c>
      <c r="I54" s="24">
        <f>SD7a!I54+SD7b!I54++SD7e!I54</f>
        <v>0</v>
      </c>
      <c r="J54" s="23">
        <f>SD7a!J54+SD7b!J54++SD7e!J54</f>
        <v>0</v>
      </c>
      <c r="K54" s="83">
        <f>SD7a!K54+SD7b!K54++SD7e!K54</f>
        <v>0</v>
      </c>
      <c r="L54" s="358"/>
    </row>
    <row r="55" spans="1:12" ht="13.15" customHeight="1" x14ac:dyDescent="0.25">
      <c r="A55" s="238" t="s">
        <v>900</v>
      </c>
      <c r="B55" s="237"/>
      <c r="C55" s="22">
        <f>SD7a!C55+SD7b!C55++SD7e!C55</f>
        <v>0</v>
      </c>
      <c r="D55" s="23">
        <f>SD7a!D55+SD7b!D55++SD7e!D55</f>
        <v>0</v>
      </c>
      <c r="E55" s="50">
        <f>SD7a!E55+SD7b!E55++SD7e!E55</f>
        <v>0</v>
      </c>
      <c r="F55" s="24">
        <f>SD7a!F55+SD7b!F55++SD7e!F55</f>
        <v>0</v>
      </c>
      <c r="G55" s="23">
        <f>SD7a!G55+SD7b!G55++SD7e!G55</f>
        <v>0</v>
      </c>
      <c r="H55" s="83">
        <f>SD7a!H55+SD7b!H55++SD7e!H55</f>
        <v>0</v>
      </c>
      <c r="I55" s="24">
        <f>SD7a!I55+SD7b!I55++SD7e!I55</f>
        <v>0</v>
      </c>
      <c r="J55" s="23">
        <f>SD7a!J55+SD7b!J55++SD7e!J55</f>
        <v>0</v>
      </c>
      <c r="K55" s="83">
        <f>SD7a!K55+SD7b!K55++SD7e!K55</f>
        <v>0</v>
      </c>
      <c r="L55" s="358"/>
    </row>
    <row r="56" spans="1:12" ht="13.15" customHeight="1" x14ac:dyDescent="0.25">
      <c r="A56" s="238" t="s">
        <v>863</v>
      </c>
      <c r="B56" s="237"/>
      <c r="C56" s="22">
        <f>SD7a!C56+SD7b!C56++SD7e!C56</f>
        <v>0</v>
      </c>
      <c r="D56" s="23">
        <f>SD7a!D56+SD7b!D56++SD7e!D56</f>
        <v>0</v>
      </c>
      <c r="E56" s="50">
        <f>SD7a!E56+SD7b!E56++SD7e!E56</f>
        <v>0</v>
      </c>
      <c r="F56" s="24">
        <f>SD7a!F56+SD7b!F56++SD7e!F56</f>
        <v>0</v>
      </c>
      <c r="G56" s="23">
        <f>SD7a!G56+SD7b!G56++SD7e!G56</f>
        <v>0</v>
      </c>
      <c r="H56" s="83">
        <f>SD7a!H56+SD7b!H56++SD7e!H56</f>
        <v>0</v>
      </c>
      <c r="I56" s="24">
        <f>SD7a!I56+SD7b!I56++SD7e!I56</f>
        <v>0</v>
      </c>
      <c r="J56" s="23">
        <f>SD7a!J56+SD7b!J56++SD7e!J56</f>
        <v>0</v>
      </c>
      <c r="K56" s="83">
        <f>SD7a!K56+SD7b!K56++SD7e!K56</f>
        <v>0</v>
      </c>
      <c r="L56" s="358"/>
    </row>
    <row r="57" spans="1:12" ht="13.15" customHeight="1" x14ac:dyDescent="0.25">
      <c r="A57" s="238" t="s">
        <v>864</v>
      </c>
      <c r="B57" s="237"/>
      <c r="C57" s="22">
        <f>SD7a!C57+SD7b!C57++SD7e!C57</f>
        <v>0</v>
      </c>
      <c r="D57" s="23">
        <f>SD7a!D57+SD7b!D57++SD7e!D57</f>
        <v>0</v>
      </c>
      <c r="E57" s="50">
        <f>SD7a!E57+SD7b!E57++SD7e!E57</f>
        <v>0</v>
      </c>
      <c r="F57" s="24">
        <f>SD7a!F57+SD7b!F57++SD7e!F57</f>
        <v>0</v>
      </c>
      <c r="G57" s="23">
        <f>SD7a!G57+SD7b!G57++SD7e!G57</f>
        <v>0</v>
      </c>
      <c r="H57" s="83">
        <f>SD7a!H57+SD7b!H57++SD7e!H57</f>
        <v>0</v>
      </c>
      <c r="I57" s="24">
        <f>SD7a!I57+SD7b!I57++SD7e!I57</f>
        <v>0</v>
      </c>
      <c r="J57" s="23">
        <f>SD7a!J57+SD7b!J57++SD7e!J57</f>
        <v>0</v>
      </c>
      <c r="K57" s="83">
        <f>SD7a!K57+SD7b!K57++SD7e!K57</f>
        <v>0</v>
      </c>
      <c r="L57" s="358"/>
    </row>
    <row r="58" spans="1:12" ht="13.15" customHeight="1" x14ac:dyDescent="0.25">
      <c r="A58" s="238" t="s">
        <v>865</v>
      </c>
      <c r="B58" s="237"/>
      <c r="C58" s="22">
        <f>SD7a!C58+SD7b!C58++SD7e!C58</f>
        <v>0</v>
      </c>
      <c r="D58" s="23">
        <f>SD7a!D58+SD7b!D58++SD7e!D58</f>
        <v>0</v>
      </c>
      <c r="E58" s="50">
        <f>SD7a!E58+SD7b!E58++SD7e!E58</f>
        <v>0</v>
      </c>
      <c r="F58" s="24">
        <f>SD7a!F58+SD7b!F58++SD7e!F58</f>
        <v>0</v>
      </c>
      <c r="G58" s="23">
        <f>SD7a!G58+SD7b!G58++SD7e!G58</f>
        <v>0</v>
      </c>
      <c r="H58" s="83">
        <f>SD7a!H58+SD7b!H58++SD7e!H58</f>
        <v>0</v>
      </c>
      <c r="I58" s="24">
        <f>SD7a!I58+SD7b!I58++SD7e!I58</f>
        <v>0</v>
      </c>
      <c r="J58" s="23">
        <f>SD7a!J58+SD7b!J58++SD7e!J58</f>
        <v>0</v>
      </c>
      <c r="K58" s="83">
        <f>SD7a!K58+SD7b!K58++SD7e!K58</f>
        <v>0</v>
      </c>
    </row>
    <row r="59" spans="1:12" ht="13.15" customHeight="1" x14ac:dyDescent="0.25">
      <c r="A59" s="238" t="s">
        <v>871</v>
      </c>
      <c r="B59" s="237"/>
      <c r="C59" s="22">
        <f>SD7a!C59+SD7b!C59++SD7e!C59</f>
        <v>0</v>
      </c>
      <c r="D59" s="23">
        <f>SD7a!D59+SD7b!D59++SD7e!D59</f>
        <v>0</v>
      </c>
      <c r="E59" s="50">
        <f>SD7a!E59+SD7b!E59++SD7e!E59</f>
        <v>0</v>
      </c>
      <c r="F59" s="24">
        <f>SD7a!F59+SD7b!F59++SD7e!F59</f>
        <v>0</v>
      </c>
      <c r="G59" s="23">
        <f>SD7a!G59+SD7b!G59++SD7e!G59</f>
        <v>0</v>
      </c>
      <c r="H59" s="83">
        <f>SD7a!H59+SD7b!H59++SD7e!H59</f>
        <v>0</v>
      </c>
      <c r="I59" s="24">
        <f>SD7a!I59+SD7b!I59++SD7e!I59</f>
        <v>0</v>
      </c>
      <c r="J59" s="23">
        <f>SD7a!J59+SD7b!J59++SD7e!J59</f>
        <v>0</v>
      </c>
      <c r="K59" s="83">
        <f>SD7a!K59+SD7b!K59++SD7e!K59</f>
        <v>0</v>
      </c>
      <c r="L59" s="358"/>
    </row>
    <row r="60" spans="1:12" ht="13.15" customHeight="1" x14ac:dyDescent="0.25">
      <c r="A60" s="238" t="s">
        <v>874</v>
      </c>
      <c r="B60" s="237"/>
      <c r="C60" s="22">
        <f>SD7a!C60+SD7b!C60++SD7e!C60</f>
        <v>0</v>
      </c>
      <c r="D60" s="23">
        <f>SD7a!D60+SD7b!D60++SD7e!D60</f>
        <v>0</v>
      </c>
      <c r="E60" s="50">
        <f>SD7a!E60+SD7b!E60++SD7e!E60</f>
        <v>0</v>
      </c>
      <c r="F60" s="24">
        <f>SD7a!F60+SD7b!F60++SD7e!F60</f>
        <v>0</v>
      </c>
      <c r="G60" s="23">
        <f>SD7a!G60+SD7b!G60++SD7e!G60</f>
        <v>0</v>
      </c>
      <c r="H60" s="83">
        <f>SD7a!H60+SD7b!H60++SD7e!H60</f>
        <v>0</v>
      </c>
      <c r="I60" s="24">
        <f>SD7a!I60+SD7b!I60++SD7e!I60</f>
        <v>0</v>
      </c>
      <c r="J60" s="23">
        <f>SD7a!J60+SD7b!J60++SD7e!J60</f>
        <v>0</v>
      </c>
      <c r="K60" s="83">
        <f>SD7a!K60+SD7b!K60++SD7e!K60</f>
        <v>0</v>
      </c>
      <c r="L60" s="358"/>
    </row>
    <row r="61" spans="1:12" ht="13.15" customHeight="1" x14ac:dyDescent="0.25">
      <c r="A61" s="238" t="s">
        <v>861</v>
      </c>
      <c r="B61" s="237"/>
      <c r="C61" s="22">
        <f>SD7a!C61+SD7b!C61++SD7e!C61</f>
        <v>0</v>
      </c>
      <c r="D61" s="23">
        <f>SD7a!D61+SD7b!D61++SD7e!D61</f>
        <v>0</v>
      </c>
      <c r="E61" s="50">
        <f>SD7a!E61+SD7b!E61++SD7e!E61</f>
        <v>0</v>
      </c>
      <c r="F61" s="24">
        <f>SD7a!F61+SD7b!F61++SD7e!F61</f>
        <v>0</v>
      </c>
      <c r="G61" s="23">
        <f>SD7a!G61+SD7b!G61++SD7e!G61</f>
        <v>0</v>
      </c>
      <c r="H61" s="83">
        <f>SD7a!H61+SD7b!H61++SD7e!H61</f>
        <v>0</v>
      </c>
      <c r="I61" s="24">
        <f>SD7a!I61+SD7b!I61++SD7e!I61</f>
        <v>0</v>
      </c>
      <c r="J61" s="23">
        <f>SD7a!J61+SD7b!J61++SD7e!J61</f>
        <v>0</v>
      </c>
      <c r="K61" s="83">
        <f>SD7a!K61+SD7b!K61++SD7e!K61</f>
        <v>0</v>
      </c>
      <c r="L61" s="358"/>
    </row>
    <row r="62" spans="1:12" ht="13.15" customHeight="1" x14ac:dyDescent="0.25">
      <c r="A62" s="20" t="s">
        <v>901</v>
      </c>
      <c r="B62" s="237"/>
      <c r="C62" s="23">
        <f>SUM(C63:C67)</f>
        <v>0</v>
      </c>
      <c r="D62" s="23">
        <f t="shared" ref="D62:K62" si="8">SUM(D63:D67)</f>
        <v>0</v>
      </c>
      <c r="E62" s="50">
        <f t="shared" si="8"/>
        <v>0</v>
      </c>
      <c r="F62" s="24">
        <f t="shared" si="8"/>
        <v>0</v>
      </c>
      <c r="G62" s="23">
        <f t="shared" si="8"/>
        <v>0</v>
      </c>
      <c r="H62" s="83">
        <f t="shared" si="8"/>
        <v>0</v>
      </c>
      <c r="I62" s="319">
        <f t="shared" si="8"/>
        <v>0</v>
      </c>
      <c r="J62" s="23">
        <f t="shared" si="8"/>
        <v>0</v>
      </c>
      <c r="K62" s="83">
        <f t="shared" si="8"/>
        <v>0</v>
      </c>
      <c r="L62" s="358"/>
    </row>
    <row r="63" spans="1:12" ht="13.15" customHeight="1" x14ac:dyDescent="0.25">
      <c r="A63" s="238" t="s">
        <v>902</v>
      </c>
      <c r="B63" s="237"/>
      <c r="C63" s="22">
        <f>SD7a!C63+SD7b!C63++SD7e!C63</f>
        <v>0</v>
      </c>
      <c r="D63" s="23">
        <f>SD7a!D63+SD7b!D63++SD7e!D63</f>
        <v>0</v>
      </c>
      <c r="E63" s="50">
        <f>SD7a!E63+SD7b!E63++SD7e!E63</f>
        <v>0</v>
      </c>
      <c r="F63" s="24">
        <f>SD7a!F63+SD7b!F63++SD7e!F63</f>
        <v>0</v>
      </c>
      <c r="G63" s="23">
        <f>SD7a!G63+SD7b!G63++SD7e!G63</f>
        <v>0</v>
      </c>
      <c r="H63" s="83">
        <f>SD7a!H63+SD7b!H63++SD7e!H63</f>
        <v>0</v>
      </c>
      <c r="I63" s="24">
        <f>SD7a!I63+SD7b!I63++SD7e!I63</f>
        <v>0</v>
      </c>
      <c r="J63" s="23">
        <f>SD7a!J63+SD7b!J63++SD7e!J63</f>
        <v>0</v>
      </c>
      <c r="K63" s="83">
        <f>SD7a!K63+SD7b!K63++SD7e!K63</f>
        <v>0</v>
      </c>
      <c r="L63" s="358"/>
    </row>
    <row r="64" spans="1:12" ht="13.15" customHeight="1" x14ac:dyDescent="0.25">
      <c r="A64" s="238" t="s">
        <v>903</v>
      </c>
      <c r="B64" s="237"/>
      <c r="C64" s="22">
        <f>SD7a!C64+SD7b!C64++SD7e!C64</f>
        <v>0</v>
      </c>
      <c r="D64" s="23">
        <f>SD7a!D64+SD7b!D64++SD7e!D64</f>
        <v>0</v>
      </c>
      <c r="E64" s="50">
        <f>SD7a!E64+SD7b!E64++SD7e!E64</f>
        <v>0</v>
      </c>
      <c r="F64" s="24">
        <f>SD7a!F64+SD7b!F64++SD7e!F64</f>
        <v>0</v>
      </c>
      <c r="G64" s="23">
        <f>SD7a!G64+SD7b!G64++SD7e!G64</f>
        <v>0</v>
      </c>
      <c r="H64" s="83">
        <f>SD7a!H64+SD7b!H64++SD7e!H64</f>
        <v>0</v>
      </c>
      <c r="I64" s="24">
        <f>SD7a!I64+SD7b!I64++SD7e!I64</f>
        <v>0</v>
      </c>
      <c r="J64" s="23">
        <f>SD7a!J64+SD7b!J64++SD7e!J64</f>
        <v>0</v>
      </c>
      <c r="K64" s="83">
        <f>SD7a!K64+SD7b!K64++SD7e!K64</f>
        <v>0</v>
      </c>
    </row>
    <row r="65" spans="1:11" ht="13.15" customHeight="1" x14ac:dyDescent="0.25">
      <c r="A65" s="238" t="s">
        <v>904</v>
      </c>
      <c r="B65" s="237"/>
      <c r="C65" s="22">
        <f>SD7a!C65+SD7b!C65++SD7e!C65</f>
        <v>0</v>
      </c>
      <c r="D65" s="23">
        <f>SD7a!D65+SD7b!D65++SD7e!D65</f>
        <v>0</v>
      </c>
      <c r="E65" s="50">
        <f>SD7a!E65+SD7b!E65++SD7e!E65</f>
        <v>0</v>
      </c>
      <c r="F65" s="24">
        <f>SD7a!F65+SD7b!F65++SD7e!F65</f>
        <v>0</v>
      </c>
      <c r="G65" s="23">
        <f>SD7a!G65+SD7b!G65++SD7e!G65</f>
        <v>0</v>
      </c>
      <c r="H65" s="83">
        <f>SD7a!H65+SD7b!H65++SD7e!H65</f>
        <v>0</v>
      </c>
      <c r="I65" s="24">
        <f>SD7a!I65+SD7b!I65++SD7e!I65</f>
        <v>0</v>
      </c>
      <c r="J65" s="23">
        <f>SD7a!J65+SD7b!J65++SD7e!J65</f>
        <v>0</v>
      </c>
      <c r="K65" s="83">
        <f>SD7a!K65+SD7b!K65++SD7e!K65</f>
        <v>0</v>
      </c>
    </row>
    <row r="66" spans="1:11" ht="13.15" customHeight="1" x14ac:dyDescent="0.25">
      <c r="A66" s="238" t="s">
        <v>905</v>
      </c>
      <c r="B66" s="237"/>
      <c r="C66" s="22">
        <f>SD7a!C66+SD7b!C66++SD7e!C66</f>
        <v>0</v>
      </c>
      <c r="D66" s="23">
        <f>SD7a!D66+SD7b!D66++SD7e!D66</f>
        <v>0</v>
      </c>
      <c r="E66" s="50">
        <f>SD7a!E66+SD7b!E66++SD7e!E66</f>
        <v>0</v>
      </c>
      <c r="F66" s="24">
        <f>SD7a!F66+SD7b!F66++SD7e!F66</f>
        <v>0</v>
      </c>
      <c r="G66" s="23">
        <f>SD7a!G66+SD7b!G66++SD7e!G66</f>
        <v>0</v>
      </c>
      <c r="H66" s="83">
        <f>SD7a!H66+SD7b!H66++SD7e!H66</f>
        <v>0</v>
      </c>
      <c r="I66" s="24">
        <f>SD7a!I66+SD7b!I66++SD7e!I66</f>
        <v>0</v>
      </c>
      <c r="J66" s="23">
        <f>SD7a!J66+SD7b!J66++SD7e!J66</f>
        <v>0</v>
      </c>
      <c r="K66" s="83">
        <f>SD7a!K66+SD7b!K66++SD7e!K66</f>
        <v>0</v>
      </c>
    </row>
    <row r="67" spans="1:11" ht="13.15" customHeight="1" x14ac:dyDescent="0.25">
      <c r="A67" s="238" t="s">
        <v>861</v>
      </c>
      <c r="B67" s="237"/>
      <c r="C67" s="22">
        <f>SD7a!C67+SD7b!C67++SD7e!C67</f>
        <v>0</v>
      </c>
      <c r="D67" s="23">
        <f>SD7a!D67+SD7b!D67++SD7e!D67</f>
        <v>0</v>
      </c>
      <c r="E67" s="50">
        <f>SD7a!E67+SD7b!E67++SD7e!E67</f>
        <v>0</v>
      </c>
      <c r="F67" s="24">
        <f>SD7a!F67+SD7b!F67++SD7e!F67</f>
        <v>0</v>
      </c>
      <c r="G67" s="23">
        <f>SD7a!G67+SD7b!G67++SD7e!G67</f>
        <v>0</v>
      </c>
      <c r="H67" s="83">
        <f>SD7a!H67+SD7b!H67++SD7e!H67</f>
        <v>0</v>
      </c>
      <c r="I67" s="24">
        <f>SD7a!I67+SD7b!I67++SD7e!I67</f>
        <v>0</v>
      </c>
      <c r="J67" s="23">
        <f>SD7a!J67+SD7b!J67++SD7e!J67</f>
        <v>0</v>
      </c>
      <c r="K67" s="83">
        <f>SD7a!K67+SD7b!K67++SD7e!K67</f>
        <v>0</v>
      </c>
    </row>
    <row r="68" spans="1:11" ht="13.15" customHeight="1" x14ac:dyDescent="0.25">
      <c r="A68" s="20" t="s">
        <v>906</v>
      </c>
      <c r="B68" s="237"/>
      <c r="C68" s="23">
        <f>SUM(C69:C72)</f>
        <v>0</v>
      </c>
      <c r="D68" s="23">
        <f t="shared" ref="D68:K68" si="9">SUM(D69:D72)</f>
        <v>0</v>
      </c>
      <c r="E68" s="23">
        <f t="shared" si="9"/>
        <v>0</v>
      </c>
      <c r="F68" s="24">
        <f t="shared" si="9"/>
        <v>0</v>
      </c>
      <c r="G68" s="23">
        <f t="shared" si="9"/>
        <v>0</v>
      </c>
      <c r="H68" s="83">
        <f t="shared" si="9"/>
        <v>0</v>
      </c>
      <c r="I68" s="319">
        <f t="shared" si="9"/>
        <v>0</v>
      </c>
      <c r="J68" s="23">
        <f t="shared" si="9"/>
        <v>0</v>
      </c>
      <c r="K68" s="83">
        <f t="shared" si="9"/>
        <v>0</v>
      </c>
    </row>
    <row r="69" spans="1:11" ht="13.15" customHeight="1" x14ac:dyDescent="0.25">
      <c r="A69" s="238" t="s">
        <v>907</v>
      </c>
      <c r="B69" s="237"/>
      <c r="C69" s="22">
        <f>SD7a!C69+SD7b!C69++SD7e!C69</f>
        <v>0</v>
      </c>
      <c r="D69" s="23">
        <f>SD7a!D69+SD7b!D69++SD7e!D69</f>
        <v>0</v>
      </c>
      <c r="E69" s="50">
        <f>SD7a!E69+SD7b!E69++SD7e!E69</f>
        <v>0</v>
      </c>
      <c r="F69" s="24">
        <f>SD7a!F69+SD7b!F69++SD7e!F69</f>
        <v>0</v>
      </c>
      <c r="G69" s="23">
        <f>SD7a!G69+SD7b!G69++SD7e!G69</f>
        <v>0</v>
      </c>
      <c r="H69" s="83">
        <f>SD7a!H69+SD7b!H69++SD7e!H69</f>
        <v>0</v>
      </c>
      <c r="I69" s="24">
        <f>SD7a!I69+SD7b!I69++SD7e!I69</f>
        <v>0</v>
      </c>
      <c r="J69" s="23">
        <f>SD7a!J69+SD7b!J69++SD7e!J69</f>
        <v>0</v>
      </c>
      <c r="K69" s="83">
        <f>SD7a!K69+SD7b!K69++SD7e!K69</f>
        <v>0</v>
      </c>
    </row>
    <row r="70" spans="1:11" ht="13.15" customHeight="1" x14ac:dyDescent="0.25">
      <c r="A70" s="238" t="s">
        <v>908</v>
      </c>
      <c r="B70" s="237"/>
      <c r="C70" s="22">
        <f>SD7a!C70+SD7b!C70++SD7e!C70</f>
        <v>0</v>
      </c>
      <c r="D70" s="23">
        <f>SD7a!D70+SD7b!D70++SD7e!D70</f>
        <v>0</v>
      </c>
      <c r="E70" s="50">
        <f>SD7a!E70+SD7b!E70++SD7e!E70</f>
        <v>0</v>
      </c>
      <c r="F70" s="24">
        <f>SD7a!F70+SD7b!F70++SD7e!F70</f>
        <v>0</v>
      </c>
      <c r="G70" s="23">
        <f>SD7a!G70+SD7b!G70++SD7e!G70</f>
        <v>0</v>
      </c>
      <c r="H70" s="83">
        <f>SD7a!H70+SD7b!H70++SD7e!H70</f>
        <v>0</v>
      </c>
      <c r="I70" s="24">
        <f>SD7a!I70+SD7b!I70++SD7e!I70</f>
        <v>0</v>
      </c>
      <c r="J70" s="23">
        <f>SD7a!J70+SD7b!J70++SD7e!J70</f>
        <v>0</v>
      </c>
      <c r="K70" s="83">
        <f>SD7a!K70+SD7b!K70++SD7e!K70</f>
        <v>0</v>
      </c>
    </row>
    <row r="71" spans="1:11" ht="13.15" customHeight="1" x14ac:dyDescent="0.25">
      <c r="A71" s="238" t="s">
        <v>909</v>
      </c>
      <c r="B71" s="237"/>
      <c r="C71" s="22">
        <f>SD7a!C71+SD7b!C71++SD7e!C71</f>
        <v>0</v>
      </c>
      <c r="D71" s="23">
        <f>SD7a!D71+SD7b!D71++SD7e!D71</f>
        <v>0</v>
      </c>
      <c r="E71" s="50">
        <f>SD7a!E71+SD7b!E71++SD7e!E71</f>
        <v>0</v>
      </c>
      <c r="F71" s="24">
        <f>SD7a!F71+SD7b!F71++SD7e!F71</f>
        <v>0</v>
      </c>
      <c r="G71" s="23">
        <f>SD7a!G71+SD7b!G71++SD7e!G71</f>
        <v>0</v>
      </c>
      <c r="H71" s="83">
        <f>SD7a!H71+SD7b!H71++SD7e!H71</f>
        <v>0</v>
      </c>
      <c r="I71" s="24">
        <f>SD7a!I71+SD7b!I71++SD7e!I71</f>
        <v>0</v>
      </c>
      <c r="J71" s="23">
        <f>SD7a!J71+SD7b!J71++SD7e!J71</f>
        <v>0</v>
      </c>
      <c r="K71" s="83">
        <f>SD7a!K71+SD7b!K71++SD7e!K71</f>
        <v>0</v>
      </c>
    </row>
    <row r="72" spans="1:11" ht="13.15" customHeight="1" x14ac:dyDescent="0.25">
      <c r="A72" s="238" t="s">
        <v>861</v>
      </c>
      <c r="B72" s="237"/>
      <c r="C72" s="22">
        <f>SD7a!C72+SD7b!C72++SD7e!C72</f>
        <v>0</v>
      </c>
      <c r="D72" s="23">
        <f>SD7a!D72+SD7b!D72++SD7e!D72</f>
        <v>0</v>
      </c>
      <c r="E72" s="50">
        <f>SD7a!E72+SD7b!E72++SD7e!E72</f>
        <v>0</v>
      </c>
      <c r="F72" s="24">
        <f>SD7a!F72+SD7b!F72++SD7e!F72</f>
        <v>0</v>
      </c>
      <c r="G72" s="23">
        <f>SD7a!G72+SD7b!G72++SD7e!G72</f>
        <v>0</v>
      </c>
      <c r="H72" s="83">
        <f>SD7a!H72+SD7b!H72++SD7e!H72</f>
        <v>0</v>
      </c>
      <c r="I72" s="24">
        <f>SD7a!I72+SD7b!I72++SD7e!I72</f>
        <v>0</v>
      </c>
      <c r="J72" s="23">
        <f>SD7a!J72+SD7b!J72++SD7e!J72</f>
        <v>0</v>
      </c>
      <c r="K72" s="83">
        <f>SD7a!K72+SD7b!K72++SD7e!K72</f>
        <v>0</v>
      </c>
    </row>
    <row r="73" spans="1:11" ht="5.0999999999999996" customHeight="1" x14ac:dyDescent="0.25">
      <c r="A73" s="21"/>
      <c r="B73" s="237"/>
      <c r="C73" s="23"/>
      <c r="D73" s="23"/>
      <c r="E73" s="240"/>
      <c r="F73" s="241"/>
      <c r="G73" s="23"/>
      <c r="H73" s="22"/>
      <c r="I73" s="241"/>
      <c r="J73" s="23"/>
      <c r="K73" s="240"/>
    </row>
    <row r="74" spans="1:11" ht="13.15" customHeight="1" x14ac:dyDescent="0.25">
      <c r="A74" s="19" t="s">
        <v>910</v>
      </c>
      <c r="B74" s="237"/>
      <c r="C74" s="26">
        <f>C75+C98</f>
        <v>0</v>
      </c>
      <c r="D74" s="26">
        <f t="shared" ref="D74:K74" si="10">D75+D98</f>
        <v>0</v>
      </c>
      <c r="E74" s="233">
        <f t="shared" si="10"/>
        <v>0</v>
      </c>
      <c r="F74" s="232">
        <f t="shared" si="10"/>
        <v>0</v>
      </c>
      <c r="G74" s="26">
        <f t="shared" si="10"/>
        <v>0</v>
      </c>
      <c r="H74" s="25">
        <f t="shared" si="10"/>
        <v>0</v>
      </c>
      <c r="I74" s="232">
        <f t="shared" si="10"/>
        <v>0</v>
      </c>
      <c r="J74" s="26">
        <f t="shared" si="10"/>
        <v>0</v>
      </c>
      <c r="K74" s="233">
        <f t="shared" si="10"/>
        <v>0</v>
      </c>
    </row>
    <row r="75" spans="1:11" ht="13.15" customHeight="1" x14ac:dyDescent="0.25">
      <c r="A75" s="20" t="s">
        <v>911</v>
      </c>
      <c r="B75" s="237"/>
      <c r="C75" s="48">
        <f>SUM(C76:C97)</f>
        <v>0</v>
      </c>
      <c r="D75" s="48">
        <f t="shared" ref="D75:K75" si="11">SUM(D76:D97)</f>
        <v>0</v>
      </c>
      <c r="E75" s="317">
        <f t="shared" si="11"/>
        <v>0</v>
      </c>
      <c r="F75" s="49">
        <f t="shared" si="11"/>
        <v>0</v>
      </c>
      <c r="G75" s="48">
        <f t="shared" si="11"/>
        <v>0</v>
      </c>
      <c r="H75" s="100">
        <f t="shared" si="11"/>
        <v>0</v>
      </c>
      <c r="I75" s="49">
        <f t="shared" si="11"/>
        <v>0</v>
      </c>
      <c r="J75" s="48">
        <f t="shared" si="11"/>
        <v>0</v>
      </c>
      <c r="K75" s="100">
        <f t="shared" si="11"/>
        <v>0</v>
      </c>
    </row>
    <row r="76" spans="1:11" ht="13.15" customHeight="1" x14ac:dyDescent="0.25">
      <c r="A76" s="238" t="s">
        <v>912</v>
      </c>
      <c r="B76" s="237"/>
      <c r="C76" s="22">
        <f>SD7a!C76+SD7b!C76++SD7e!C76</f>
        <v>0</v>
      </c>
      <c r="D76" s="23">
        <f>SD7a!D76+SD7b!D76++SD7e!D76</f>
        <v>0</v>
      </c>
      <c r="E76" s="50">
        <f>SD7a!E76+SD7b!E76++SD7e!E76</f>
        <v>0</v>
      </c>
      <c r="F76" s="24">
        <f>SD7a!F76+SD7b!F76++SD7e!F76</f>
        <v>0</v>
      </c>
      <c r="G76" s="23">
        <f>SD7a!G76+SD7b!G76++SD7e!G76</f>
        <v>0</v>
      </c>
      <c r="H76" s="83">
        <f>SD7a!H76+SD7b!H76++SD7e!H76</f>
        <v>0</v>
      </c>
      <c r="I76" s="24">
        <f>SD7a!I76+SD7b!I76++SD7e!I76</f>
        <v>0</v>
      </c>
      <c r="J76" s="23">
        <f>SD7a!J76+SD7b!J76++SD7e!J76</f>
        <v>0</v>
      </c>
      <c r="K76" s="83">
        <f>SD7a!K76+SD7b!K76++SD7e!K76</f>
        <v>0</v>
      </c>
    </row>
    <row r="77" spans="1:11" ht="13.15" customHeight="1" x14ac:dyDescent="0.25">
      <c r="A77" s="238" t="s">
        <v>913</v>
      </c>
      <c r="B77" s="237"/>
      <c r="C77" s="22">
        <f>SD7a!C77+SD7b!C77++SD7e!C77</f>
        <v>0</v>
      </c>
      <c r="D77" s="23">
        <f>SD7a!D77+SD7b!D77++SD7e!D77</f>
        <v>0</v>
      </c>
      <c r="E77" s="50">
        <f>SD7a!E77+SD7b!E77++SD7e!E77</f>
        <v>0</v>
      </c>
      <c r="F77" s="24">
        <f>SD7a!F77+SD7b!F77++SD7e!F77</f>
        <v>0</v>
      </c>
      <c r="G77" s="23">
        <f>SD7a!G77+SD7b!G77++SD7e!G77</f>
        <v>0</v>
      </c>
      <c r="H77" s="83">
        <f>SD7a!H77+SD7b!H77++SD7e!H77</f>
        <v>0</v>
      </c>
      <c r="I77" s="24">
        <f>SD7a!I77+SD7b!I77++SD7e!I77</f>
        <v>0</v>
      </c>
      <c r="J77" s="23">
        <f>SD7a!J77+SD7b!J77++SD7e!J77</f>
        <v>0</v>
      </c>
      <c r="K77" s="83">
        <f>SD7a!K77+SD7b!K77++SD7e!K77</f>
        <v>0</v>
      </c>
    </row>
    <row r="78" spans="1:11" ht="13.15" customHeight="1" x14ac:dyDescent="0.25">
      <c r="A78" s="238" t="s">
        <v>914</v>
      </c>
      <c r="B78" s="237"/>
      <c r="C78" s="22">
        <f>SD7a!C78+SD7b!C78++SD7e!C78</f>
        <v>0</v>
      </c>
      <c r="D78" s="23">
        <f>SD7a!D78+SD7b!D78++SD7e!D78</f>
        <v>0</v>
      </c>
      <c r="E78" s="50">
        <f>SD7a!E78+SD7b!E78++SD7e!E78</f>
        <v>0</v>
      </c>
      <c r="F78" s="24">
        <f>SD7a!F78+SD7b!F78++SD7e!F78</f>
        <v>0</v>
      </c>
      <c r="G78" s="23">
        <f>SD7a!G78+SD7b!G78++SD7e!G78</f>
        <v>0</v>
      </c>
      <c r="H78" s="83">
        <f>SD7a!H78+SD7b!H78++SD7e!H78</f>
        <v>0</v>
      </c>
      <c r="I78" s="24">
        <f>SD7a!I78+SD7b!I78++SD7e!I78</f>
        <v>0</v>
      </c>
      <c r="J78" s="23">
        <f>SD7a!J78+SD7b!J78++SD7e!J78</f>
        <v>0</v>
      </c>
      <c r="K78" s="83">
        <f>SD7a!K78+SD7b!K78++SD7e!K78</f>
        <v>0</v>
      </c>
    </row>
    <row r="79" spans="1:11" ht="13.15" customHeight="1" x14ac:dyDescent="0.25">
      <c r="A79" s="238" t="s">
        <v>915</v>
      </c>
      <c r="B79" s="237"/>
      <c r="C79" s="22">
        <f>SD7a!C79+SD7b!C79++SD7e!C79</f>
        <v>0</v>
      </c>
      <c r="D79" s="23">
        <f>SD7a!D79+SD7b!D79++SD7e!D79</f>
        <v>0</v>
      </c>
      <c r="E79" s="50">
        <f>SD7a!E79+SD7b!E79++SD7e!E79</f>
        <v>0</v>
      </c>
      <c r="F79" s="24">
        <f>SD7a!F79+SD7b!F79++SD7e!F79</f>
        <v>0</v>
      </c>
      <c r="G79" s="23">
        <f>SD7a!G79+SD7b!G79++SD7e!G79</f>
        <v>0</v>
      </c>
      <c r="H79" s="83">
        <f>SD7a!H79+SD7b!H79++SD7e!H79</f>
        <v>0</v>
      </c>
      <c r="I79" s="24">
        <f>SD7a!I79+SD7b!I79++SD7e!I79</f>
        <v>0</v>
      </c>
      <c r="J79" s="23">
        <f>SD7a!J79+SD7b!J79++SD7e!J79</f>
        <v>0</v>
      </c>
      <c r="K79" s="83">
        <f>SD7a!K79+SD7b!K79++SD7e!K79</f>
        <v>0</v>
      </c>
    </row>
    <row r="80" spans="1:11" ht="13.15" customHeight="1" x14ac:dyDescent="0.25">
      <c r="A80" s="238" t="s">
        <v>916</v>
      </c>
      <c r="B80" s="237"/>
      <c r="C80" s="22">
        <f>SD7a!C80+SD7b!C80++SD7e!C80</f>
        <v>0</v>
      </c>
      <c r="D80" s="23">
        <f>SD7a!D80+SD7b!D80++SD7e!D80</f>
        <v>0</v>
      </c>
      <c r="E80" s="50">
        <f>SD7a!E80+SD7b!E80++SD7e!E80</f>
        <v>0</v>
      </c>
      <c r="F80" s="24">
        <f>SD7a!F80+SD7b!F80++SD7e!F80</f>
        <v>0</v>
      </c>
      <c r="G80" s="23">
        <f>SD7a!G80+SD7b!G80++SD7e!G80</f>
        <v>0</v>
      </c>
      <c r="H80" s="83">
        <f>SD7a!H80+SD7b!H80++SD7e!H80</f>
        <v>0</v>
      </c>
      <c r="I80" s="24">
        <f>SD7a!I80+SD7b!I80++SD7e!I80</f>
        <v>0</v>
      </c>
      <c r="J80" s="23">
        <f>SD7a!J80+SD7b!J80++SD7e!J80</f>
        <v>0</v>
      </c>
      <c r="K80" s="83">
        <f>SD7a!K80+SD7b!K80++SD7e!K80</f>
        <v>0</v>
      </c>
    </row>
    <row r="81" spans="1:12" ht="13.15" customHeight="1" x14ac:dyDescent="0.25">
      <c r="A81" s="238" t="s">
        <v>917</v>
      </c>
      <c r="B81" s="237"/>
      <c r="C81" s="22">
        <f>SD7a!C81+SD7b!C81++SD7e!C81</f>
        <v>0</v>
      </c>
      <c r="D81" s="23">
        <f>SD7a!D81+SD7b!D81++SD7e!D81</f>
        <v>0</v>
      </c>
      <c r="E81" s="50">
        <f>SD7a!E81+SD7b!E81++SD7e!E81</f>
        <v>0</v>
      </c>
      <c r="F81" s="24">
        <f>SD7a!F81+SD7b!F81++SD7e!F81</f>
        <v>0</v>
      </c>
      <c r="G81" s="23">
        <f>SD7a!G81+SD7b!G81++SD7e!G81</f>
        <v>0</v>
      </c>
      <c r="H81" s="83">
        <f>SD7a!H81+SD7b!H81++SD7e!H81</f>
        <v>0</v>
      </c>
      <c r="I81" s="24">
        <f>SD7a!I81+SD7b!I81++SD7e!I81</f>
        <v>0</v>
      </c>
      <c r="J81" s="23">
        <f>SD7a!J81+SD7b!J81++SD7e!J81</f>
        <v>0</v>
      </c>
      <c r="K81" s="83">
        <f>SD7a!K81+SD7b!K81++SD7e!K81</f>
        <v>0</v>
      </c>
    </row>
    <row r="82" spans="1:12" ht="13.15" customHeight="1" x14ac:dyDescent="0.25">
      <c r="A82" s="238" t="s">
        <v>918</v>
      </c>
      <c r="B82" s="237"/>
      <c r="C82" s="22">
        <f>SD7a!C82+SD7b!C82++SD7e!C82</f>
        <v>0</v>
      </c>
      <c r="D82" s="23">
        <f>SD7a!D82+SD7b!D82++SD7e!D82</f>
        <v>0</v>
      </c>
      <c r="E82" s="50">
        <f>SD7a!E82+SD7b!E82++SD7e!E82</f>
        <v>0</v>
      </c>
      <c r="F82" s="24">
        <f>SD7a!F82+SD7b!F82++SD7e!F82</f>
        <v>0</v>
      </c>
      <c r="G82" s="23">
        <f>SD7a!G82+SD7b!G82++SD7e!G82</f>
        <v>0</v>
      </c>
      <c r="H82" s="83">
        <f>SD7a!H82+SD7b!H82++SD7e!H82</f>
        <v>0</v>
      </c>
      <c r="I82" s="24">
        <f>SD7a!I82+SD7b!I82++SD7e!I82</f>
        <v>0</v>
      </c>
      <c r="J82" s="23">
        <f>SD7a!J82+SD7b!J82++SD7e!J82</f>
        <v>0</v>
      </c>
      <c r="K82" s="83">
        <f>SD7a!K82+SD7b!K82++SD7e!K82</f>
        <v>0</v>
      </c>
    </row>
    <row r="83" spans="1:12" ht="13.15" customHeight="1" x14ac:dyDescent="0.25">
      <c r="A83" s="238" t="s">
        <v>919</v>
      </c>
      <c r="B83" s="237"/>
      <c r="C83" s="22">
        <f>SD7a!C83+SD7b!C83++SD7e!C83</f>
        <v>0</v>
      </c>
      <c r="D83" s="23">
        <f>SD7a!D83+SD7b!D83++SD7e!D83</f>
        <v>0</v>
      </c>
      <c r="E83" s="50">
        <f>SD7a!E83+SD7b!E83++SD7e!E83</f>
        <v>0</v>
      </c>
      <c r="F83" s="24">
        <f>SD7a!F83+SD7b!F83++SD7e!F83</f>
        <v>0</v>
      </c>
      <c r="G83" s="23">
        <f>SD7a!G83+SD7b!G83++SD7e!G83</f>
        <v>0</v>
      </c>
      <c r="H83" s="83">
        <f>SD7a!H83+SD7b!H83++SD7e!H83</f>
        <v>0</v>
      </c>
      <c r="I83" s="24">
        <f>SD7a!I83+SD7b!I83++SD7e!I83</f>
        <v>0</v>
      </c>
      <c r="J83" s="23">
        <f>SD7a!J83+SD7b!J83++SD7e!J83</f>
        <v>0</v>
      </c>
      <c r="K83" s="83">
        <f>SD7a!K83+SD7b!K83++SD7e!K83</f>
        <v>0</v>
      </c>
    </row>
    <row r="84" spans="1:12" s="297" customFormat="1" ht="13.15" customHeight="1" x14ac:dyDescent="0.25">
      <c r="A84" s="238" t="s">
        <v>920</v>
      </c>
      <c r="B84" s="237"/>
      <c r="C84" s="22">
        <f>SD7a!C84+SD7b!C84++SD7e!C84</f>
        <v>0</v>
      </c>
      <c r="D84" s="23">
        <f>SD7a!D84+SD7b!D84++SD7e!D84</f>
        <v>0</v>
      </c>
      <c r="E84" s="50">
        <f>SD7a!E84+SD7b!E84++SD7e!E84</f>
        <v>0</v>
      </c>
      <c r="F84" s="24">
        <f>SD7a!F84+SD7b!F84++SD7e!F84</f>
        <v>0</v>
      </c>
      <c r="G84" s="23">
        <f>SD7a!G84+SD7b!G84++SD7e!G84</f>
        <v>0</v>
      </c>
      <c r="H84" s="83">
        <f>SD7a!H84+SD7b!H84++SD7e!H84</f>
        <v>0</v>
      </c>
      <c r="I84" s="24">
        <f>SD7a!I84+SD7b!I84++SD7e!I84</f>
        <v>0</v>
      </c>
      <c r="J84" s="23">
        <f>SD7a!J84+SD7b!J84++SD7e!J84</f>
        <v>0</v>
      </c>
      <c r="K84" s="83">
        <f>SD7a!K84+SD7b!K84++SD7e!K84</f>
        <v>0</v>
      </c>
      <c r="L84" s="363"/>
    </row>
    <row r="85" spans="1:12" s="297" customFormat="1" ht="13.15" customHeight="1" x14ac:dyDescent="0.25">
      <c r="A85" s="238" t="s">
        <v>90</v>
      </c>
      <c r="B85" s="237"/>
      <c r="C85" s="22">
        <f>SD7a!C85+SD7b!C85++SD7e!C85</f>
        <v>0</v>
      </c>
      <c r="D85" s="23">
        <f>SD7a!D85+SD7b!D85++SD7e!D85</f>
        <v>0</v>
      </c>
      <c r="E85" s="50">
        <f>SD7a!E85+SD7b!E85++SD7e!E85</f>
        <v>0</v>
      </c>
      <c r="F85" s="24">
        <f>SD7a!F85+SD7b!F85++SD7e!F85</f>
        <v>0</v>
      </c>
      <c r="G85" s="23">
        <f>SD7a!G85+SD7b!G85++SD7e!G85</f>
        <v>0</v>
      </c>
      <c r="H85" s="83">
        <f>SD7a!H85+SD7b!H85++SD7e!H85</f>
        <v>0</v>
      </c>
      <c r="I85" s="24">
        <f>SD7a!I85+SD7b!I85++SD7e!I85</f>
        <v>0</v>
      </c>
      <c r="J85" s="23">
        <f>SD7a!J85+SD7b!J85++SD7e!J85</f>
        <v>0</v>
      </c>
      <c r="K85" s="83">
        <f>SD7a!K85+SD7b!K85++SD7e!K85</f>
        <v>0</v>
      </c>
    </row>
    <row r="86" spans="1:12" s="297" customFormat="1" ht="13.15" customHeight="1" x14ac:dyDescent="0.25">
      <c r="A86" s="238" t="s">
        <v>921</v>
      </c>
      <c r="B86" s="237"/>
      <c r="C86" s="22">
        <f>SD7a!C86+SD7b!C86++SD7e!C86</f>
        <v>0</v>
      </c>
      <c r="D86" s="23">
        <f>SD7a!D86+SD7b!D86++SD7e!D86</f>
        <v>0</v>
      </c>
      <c r="E86" s="50">
        <f>SD7a!E86+SD7b!E86++SD7e!E86</f>
        <v>0</v>
      </c>
      <c r="F86" s="24">
        <f>SD7a!F86+SD7b!F86++SD7e!F86</f>
        <v>0</v>
      </c>
      <c r="G86" s="23">
        <f>SD7a!G86+SD7b!G86++SD7e!G86</f>
        <v>0</v>
      </c>
      <c r="H86" s="83">
        <f>SD7a!H86+SD7b!H86++SD7e!H86</f>
        <v>0</v>
      </c>
      <c r="I86" s="24">
        <f>SD7a!I86+SD7b!I86++SD7e!I86</f>
        <v>0</v>
      </c>
      <c r="J86" s="23">
        <f>SD7a!J86+SD7b!J86++SD7e!J86</f>
        <v>0</v>
      </c>
      <c r="K86" s="83">
        <f>SD7a!K86+SD7b!K86++SD7e!K86</f>
        <v>0</v>
      </c>
    </row>
    <row r="87" spans="1:12" ht="13.15" customHeight="1" x14ac:dyDescent="0.25">
      <c r="A87" s="238" t="s">
        <v>922</v>
      </c>
      <c r="B87" s="237"/>
      <c r="C87" s="22">
        <f>SD7a!C87+SD7b!C87++SD7e!C87</f>
        <v>0</v>
      </c>
      <c r="D87" s="23">
        <f>SD7a!D87+SD7b!D87++SD7e!D87</f>
        <v>0</v>
      </c>
      <c r="E87" s="50">
        <f>SD7a!E87+SD7b!E87++SD7e!E87</f>
        <v>0</v>
      </c>
      <c r="F87" s="24">
        <f>SD7a!F87+SD7b!F87++SD7e!F87</f>
        <v>0</v>
      </c>
      <c r="G87" s="23">
        <f>SD7a!G87+SD7b!G87++SD7e!G87</f>
        <v>0</v>
      </c>
      <c r="H87" s="83">
        <f>SD7a!H87+SD7b!H87++SD7e!H87</f>
        <v>0</v>
      </c>
      <c r="I87" s="24">
        <f>SD7a!I87+SD7b!I87++SD7e!I87</f>
        <v>0</v>
      </c>
      <c r="J87" s="23">
        <f>SD7a!J87+SD7b!J87++SD7e!J87</f>
        <v>0</v>
      </c>
      <c r="K87" s="83">
        <f>SD7a!K87+SD7b!K87++SD7e!K87</f>
        <v>0</v>
      </c>
    </row>
    <row r="88" spans="1:12" ht="13.15" customHeight="1" x14ac:dyDescent="0.25">
      <c r="A88" s="238" t="s">
        <v>1025</v>
      </c>
      <c r="B88" s="237"/>
      <c r="C88" s="22">
        <f>SD7a!C88+SD7b!C88++SD7e!C88</f>
        <v>0</v>
      </c>
      <c r="D88" s="23">
        <f>SD7a!D88+SD7b!D88++SD7e!D88</f>
        <v>0</v>
      </c>
      <c r="E88" s="50">
        <f>SD7a!E88+SD7b!E88++SD7e!E88</f>
        <v>0</v>
      </c>
      <c r="F88" s="24">
        <f>SD7a!F88+SD7b!F88++SD7e!F88</f>
        <v>0</v>
      </c>
      <c r="G88" s="23">
        <f>SD7a!G88+SD7b!G88++SD7e!G88</f>
        <v>0</v>
      </c>
      <c r="H88" s="83">
        <f>SD7a!H88+SD7b!H88++SD7e!H88</f>
        <v>0</v>
      </c>
      <c r="I88" s="24">
        <f>SD7a!I88+SD7b!I88++SD7e!I88</f>
        <v>0</v>
      </c>
      <c r="J88" s="23">
        <f>SD7a!J88+SD7b!J88++SD7e!J88</f>
        <v>0</v>
      </c>
      <c r="K88" s="83">
        <f>SD7a!K88+SD7b!K88++SD7e!K88</f>
        <v>0</v>
      </c>
    </row>
    <row r="89" spans="1:12" ht="13.15" customHeight="1" x14ac:dyDescent="0.25">
      <c r="A89" s="238" t="s">
        <v>923</v>
      </c>
      <c r="B89" s="237"/>
      <c r="C89" s="22">
        <f>SD7a!C89+SD7b!C89++SD7e!C89</f>
        <v>0</v>
      </c>
      <c r="D89" s="23">
        <f>SD7a!D89+SD7b!D89++SD7e!D89</f>
        <v>0</v>
      </c>
      <c r="E89" s="50">
        <f>SD7a!E89+SD7b!E89++SD7e!E89</f>
        <v>0</v>
      </c>
      <c r="F89" s="24">
        <f>SD7a!F89+SD7b!F89++SD7e!F89</f>
        <v>0</v>
      </c>
      <c r="G89" s="23">
        <f>SD7a!G89+SD7b!G89++SD7e!G89</f>
        <v>0</v>
      </c>
      <c r="H89" s="83">
        <f>SD7a!H89+SD7b!H89++SD7e!H89</f>
        <v>0</v>
      </c>
      <c r="I89" s="24">
        <f>SD7a!I89+SD7b!I89++SD7e!I89</f>
        <v>0</v>
      </c>
      <c r="J89" s="23">
        <f>SD7a!J89+SD7b!J89++SD7e!J89</f>
        <v>0</v>
      </c>
      <c r="K89" s="83">
        <f>SD7a!K89+SD7b!K89++SD7e!K89</f>
        <v>0</v>
      </c>
    </row>
    <row r="90" spans="1:12" ht="13.15" customHeight="1" x14ac:dyDescent="0.25">
      <c r="A90" s="238" t="s">
        <v>924</v>
      </c>
      <c r="B90" s="237"/>
      <c r="C90" s="22">
        <f>SD7a!C90+SD7b!C90++SD7e!C90</f>
        <v>0</v>
      </c>
      <c r="D90" s="23">
        <f>SD7a!D90+SD7b!D90++SD7e!D90</f>
        <v>0</v>
      </c>
      <c r="E90" s="50">
        <f>SD7a!E90+SD7b!E90++SD7e!E90</f>
        <v>0</v>
      </c>
      <c r="F90" s="24">
        <f>SD7a!F90+SD7b!F90++SD7e!F90</f>
        <v>0</v>
      </c>
      <c r="G90" s="23">
        <f>SD7a!G90+SD7b!G90++SD7e!G90</f>
        <v>0</v>
      </c>
      <c r="H90" s="83">
        <f>SD7a!H90+SD7b!H90++SD7e!H90</f>
        <v>0</v>
      </c>
      <c r="I90" s="24">
        <f>SD7a!I90+SD7b!I90++SD7e!I90</f>
        <v>0</v>
      </c>
      <c r="J90" s="23">
        <f>SD7a!J90+SD7b!J90++SD7e!J90</f>
        <v>0</v>
      </c>
      <c r="K90" s="83">
        <f>SD7a!K90+SD7b!K90++SD7e!K90</f>
        <v>0</v>
      </c>
    </row>
    <row r="91" spans="1:12" ht="13.15" customHeight="1" x14ac:dyDescent="0.25">
      <c r="A91" s="238" t="s">
        <v>925</v>
      </c>
      <c r="B91" s="237"/>
      <c r="C91" s="22">
        <f>SD7a!C91+SD7b!C91++SD7e!C91</f>
        <v>0</v>
      </c>
      <c r="D91" s="23">
        <f>SD7a!D91+SD7b!D91++SD7e!D91</f>
        <v>0</v>
      </c>
      <c r="E91" s="50">
        <f>SD7a!E91+SD7b!E91++SD7e!E91</f>
        <v>0</v>
      </c>
      <c r="F91" s="24">
        <f>SD7a!F91+SD7b!F91++SD7e!F91</f>
        <v>0</v>
      </c>
      <c r="G91" s="23">
        <f>SD7a!G91+SD7b!G91++SD7e!G91</f>
        <v>0</v>
      </c>
      <c r="H91" s="83">
        <f>SD7a!H91+SD7b!H91++SD7e!H91</f>
        <v>0</v>
      </c>
      <c r="I91" s="24">
        <f>SD7a!I91+SD7b!I91++SD7e!I91</f>
        <v>0</v>
      </c>
      <c r="J91" s="23">
        <f>SD7a!J91+SD7b!J91++SD7e!J91</f>
        <v>0</v>
      </c>
      <c r="K91" s="83">
        <f>SD7a!K91+SD7b!K91++SD7e!K91</f>
        <v>0</v>
      </c>
    </row>
    <row r="92" spans="1:12" ht="13.15" customHeight="1" x14ac:dyDescent="0.25">
      <c r="A92" s="238" t="s">
        <v>11</v>
      </c>
      <c r="B92" s="237"/>
      <c r="C92" s="22">
        <f>SD7a!C92+SD7b!C92++SD7e!C92</f>
        <v>0</v>
      </c>
      <c r="D92" s="23">
        <f>SD7a!D92+SD7b!D92++SD7e!D92</f>
        <v>0</v>
      </c>
      <c r="E92" s="50">
        <f>SD7a!E92+SD7b!E92++SD7e!E92</f>
        <v>0</v>
      </c>
      <c r="F92" s="24">
        <f>SD7a!F92+SD7b!F92++SD7e!F92</f>
        <v>0</v>
      </c>
      <c r="G92" s="23">
        <f>SD7a!G92+SD7b!G92++SD7e!G92</f>
        <v>0</v>
      </c>
      <c r="H92" s="83">
        <f>SD7a!H92+SD7b!H92++SD7e!H92</f>
        <v>0</v>
      </c>
      <c r="I92" s="24">
        <f>SD7a!I92+SD7b!I92++SD7e!I92</f>
        <v>0</v>
      </c>
      <c r="J92" s="23">
        <f>SD7a!J92+SD7b!J92++SD7e!J92</f>
        <v>0</v>
      </c>
      <c r="K92" s="83">
        <f>SD7a!K92+SD7b!K92++SD7e!K92</f>
        <v>0</v>
      </c>
    </row>
    <row r="93" spans="1:12" ht="13.15" customHeight="1" x14ac:dyDescent="0.25">
      <c r="A93" s="238" t="s">
        <v>926</v>
      </c>
      <c r="B93" s="237"/>
      <c r="C93" s="22">
        <f>SD7a!C93+SD7b!C93++SD7e!C93</f>
        <v>0</v>
      </c>
      <c r="D93" s="23">
        <f>SD7a!D93+SD7b!D93++SD7e!D93</f>
        <v>0</v>
      </c>
      <c r="E93" s="50">
        <f>SD7a!E93+SD7b!E93++SD7e!E93</f>
        <v>0</v>
      </c>
      <c r="F93" s="24">
        <f>SD7a!F93+SD7b!F93++SD7e!F93</f>
        <v>0</v>
      </c>
      <c r="G93" s="23">
        <f>SD7a!G93+SD7b!G93++SD7e!G93</f>
        <v>0</v>
      </c>
      <c r="H93" s="83">
        <f>SD7a!H93+SD7b!H93++SD7e!H93</f>
        <v>0</v>
      </c>
      <c r="I93" s="24">
        <f>SD7a!I93+SD7b!I93++SD7e!I93</f>
        <v>0</v>
      </c>
      <c r="J93" s="23">
        <f>SD7a!J93+SD7b!J93++SD7e!J93</f>
        <v>0</v>
      </c>
      <c r="K93" s="83">
        <f>SD7a!K93+SD7b!K93++SD7e!K93</f>
        <v>0</v>
      </c>
    </row>
    <row r="94" spans="1:12" ht="13.15" customHeight="1" x14ac:dyDescent="0.25">
      <c r="A94" s="238" t="s">
        <v>10</v>
      </c>
      <c r="B94" s="237"/>
      <c r="C94" s="22">
        <f>SD7a!C94+SD7b!C94++SD7e!C94</f>
        <v>0</v>
      </c>
      <c r="D94" s="23">
        <f>SD7a!D94+SD7b!D94++SD7e!D94</f>
        <v>0</v>
      </c>
      <c r="E94" s="50">
        <f>SD7a!E94+SD7b!E94++SD7e!E94</f>
        <v>0</v>
      </c>
      <c r="F94" s="24">
        <f>SD7a!F94+SD7b!F94++SD7e!F94</f>
        <v>0</v>
      </c>
      <c r="G94" s="23">
        <f>SD7a!G94+SD7b!G94++SD7e!G94</f>
        <v>0</v>
      </c>
      <c r="H94" s="83">
        <f>SD7a!H94+SD7b!H94++SD7e!H94</f>
        <v>0</v>
      </c>
      <c r="I94" s="24">
        <f>SD7a!I94+SD7b!I94++SD7e!I94</f>
        <v>0</v>
      </c>
      <c r="J94" s="23">
        <f>SD7a!J94+SD7b!J94++SD7e!J94</f>
        <v>0</v>
      </c>
      <c r="K94" s="83">
        <f>SD7a!K94+SD7b!K94++SD7e!K94</f>
        <v>0</v>
      </c>
    </row>
    <row r="95" spans="1:12" ht="13.15" customHeight="1" x14ac:dyDescent="0.25">
      <c r="A95" s="238" t="s">
        <v>927</v>
      </c>
      <c r="B95" s="237"/>
      <c r="C95" s="22">
        <f>SD7a!C95+SD7b!C95++SD7e!C95</f>
        <v>0</v>
      </c>
      <c r="D95" s="23">
        <f>SD7a!D95+SD7b!D95++SD7e!D95</f>
        <v>0</v>
      </c>
      <c r="E95" s="50">
        <f>SD7a!E95+SD7b!E95++SD7e!E95</f>
        <v>0</v>
      </c>
      <c r="F95" s="24">
        <f>SD7a!F95+SD7b!F95++SD7e!F95</f>
        <v>0</v>
      </c>
      <c r="G95" s="23">
        <f>SD7a!G95+SD7b!G95++SD7e!G95</f>
        <v>0</v>
      </c>
      <c r="H95" s="83">
        <f>SD7a!H95+SD7b!H95++SD7e!H95</f>
        <v>0</v>
      </c>
      <c r="I95" s="24">
        <f>SD7a!I95+SD7b!I95++SD7e!I95</f>
        <v>0</v>
      </c>
      <c r="J95" s="23">
        <f>SD7a!J95+SD7b!J95++SD7e!J95</f>
        <v>0</v>
      </c>
      <c r="K95" s="83">
        <f>SD7a!K95+SD7b!K95++SD7e!K95</f>
        <v>0</v>
      </c>
    </row>
    <row r="96" spans="1:12" ht="13.15" customHeight="1" x14ac:dyDescent="0.25">
      <c r="A96" s="238" t="s">
        <v>928</v>
      </c>
      <c r="B96" s="237"/>
      <c r="C96" s="22">
        <f>SD7a!C96+SD7b!C96++SD7e!C96</f>
        <v>0</v>
      </c>
      <c r="D96" s="23">
        <f>SD7a!D96+SD7b!D96++SD7e!D96</f>
        <v>0</v>
      </c>
      <c r="E96" s="50">
        <f>SD7a!E96+SD7b!E96++SD7e!E96</f>
        <v>0</v>
      </c>
      <c r="F96" s="24">
        <f>SD7a!F96+SD7b!F96++SD7e!F96</f>
        <v>0</v>
      </c>
      <c r="G96" s="23">
        <f>SD7a!G96+SD7b!G96++SD7e!G96</f>
        <v>0</v>
      </c>
      <c r="H96" s="83">
        <f>SD7a!H96+SD7b!H96++SD7e!H96</f>
        <v>0</v>
      </c>
      <c r="I96" s="24">
        <f>SD7a!I96+SD7b!I96++SD7e!I96</f>
        <v>0</v>
      </c>
      <c r="J96" s="23">
        <f>SD7a!J96+SD7b!J96++SD7e!J96</f>
        <v>0</v>
      </c>
      <c r="K96" s="83">
        <f>SD7a!K96+SD7b!K96++SD7e!K96</f>
        <v>0</v>
      </c>
    </row>
    <row r="97" spans="1:11" ht="13.15" customHeight="1" x14ac:dyDescent="0.25">
      <c r="A97" s="238" t="s">
        <v>861</v>
      </c>
      <c r="B97" s="237"/>
      <c r="C97" s="22">
        <f>SD7a!C97+SD7b!C97++SD7e!C97</f>
        <v>0</v>
      </c>
      <c r="D97" s="23">
        <f>SD7a!D97+SD7b!D97++SD7e!D97</f>
        <v>0</v>
      </c>
      <c r="E97" s="50">
        <f>SD7a!E97+SD7b!E97++SD7e!E97</f>
        <v>0</v>
      </c>
      <c r="F97" s="24">
        <f>SD7a!F97+SD7b!F97++SD7e!F97</f>
        <v>0</v>
      </c>
      <c r="G97" s="23">
        <f>SD7a!G97+SD7b!G97++SD7e!G97</f>
        <v>0</v>
      </c>
      <c r="H97" s="83">
        <f>SD7a!H97+SD7b!H97++SD7e!H97</f>
        <v>0</v>
      </c>
      <c r="I97" s="24">
        <f>SD7a!I97+SD7b!I97++SD7e!I97</f>
        <v>0</v>
      </c>
      <c r="J97" s="23">
        <f>SD7a!J97+SD7b!J97++SD7e!J97</f>
        <v>0</v>
      </c>
      <c r="K97" s="83">
        <f>SD7a!K97+SD7b!K97++SD7e!K97</f>
        <v>0</v>
      </c>
    </row>
    <row r="98" spans="1:11" ht="13.15" customHeight="1" x14ac:dyDescent="0.25">
      <c r="A98" s="20" t="s">
        <v>929</v>
      </c>
      <c r="B98" s="237"/>
      <c r="C98" s="23">
        <f>SUM(C99:C101)</f>
        <v>0</v>
      </c>
      <c r="D98" s="23">
        <f t="shared" ref="D98:K98" si="12">SUM(D99:D101)</f>
        <v>0</v>
      </c>
      <c r="E98" s="23">
        <f t="shared" si="12"/>
        <v>0</v>
      </c>
      <c r="F98" s="24">
        <f t="shared" si="12"/>
        <v>0</v>
      </c>
      <c r="G98" s="23">
        <f t="shared" si="12"/>
        <v>0</v>
      </c>
      <c r="H98" s="83">
        <f t="shared" si="12"/>
        <v>0</v>
      </c>
      <c r="I98" s="319">
        <f t="shared" si="12"/>
        <v>0</v>
      </c>
      <c r="J98" s="23">
        <f t="shared" si="12"/>
        <v>0</v>
      </c>
      <c r="K98" s="83">
        <f t="shared" si="12"/>
        <v>0</v>
      </c>
    </row>
    <row r="99" spans="1:11" ht="13.15" customHeight="1" x14ac:dyDescent="0.25">
      <c r="A99" s="238" t="s">
        <v>930</v>
      </c>
      <c r="B99" s="237"/>
      <c r="C99" s="22">
        <f>SD7a!C99+SD7b!C99++SD7e!C99</f>
        <v>0</v>
      </c>
      <c r="D99" s="23">
        <f>SD7a!D99+SD7b!D99++SD7e!D99</f>
        <v>0</v>
      </c>
      <c r="E99" s="50">
        <f>SD7a!E99+SD7b!E99++SD7e!E99</f>
        <v>0</v>
      </c>
      <c r="F99" s="24">
        <f>SD7a!F99+SD7b!F99++SD7e!F99</f>
        <v>0</v>
      </c>
      <c r="G99" s="23">
        <f>SD7a!G99+SD7b!G99++SD7e!G99</f>
        <v>0</v>
      </c>
      <c r="H99" s="83">
        <f>SD7a!H99+SD7b!H99++SD7e!H99</f>
        <v>0</v>
      </c>
      <c r="I99" s="24">
        <f>SD7a!I99+SD7b!I99++SD7e!I99</f>
        <v>0</v>
      </c>
      <c r="J99" s="23">
        <f>SD7a!J99+SD7b!J99++SD7e!J99</f>
        <v>0</v>
      </c>
      <c r="K99" s="83">
        <f>SD7a!K99+SD7b!K99++SD7e!K99</f>
        <v>0</v>
      </c>
    </row>
    <row r="100" spans="1:11" ht="13.15" customHeight="1" x14ac:dyDescent="0.25">
      <c r="A100" s="238" t="s">
        <v>931</v>
      </c>
      <c r="B100" s="237"/>
      <c r="C100" s="22">
        <f>SD7a!C100+SD7b!C100++SD7e!C100</f>
        <v>0</v>
      </c>
      <c r="D100" s="23">
        <f>SD7a!D100+SD7b!D100++SD7e!D100</f>
        <v>0</v>
      </c>
      <c r="E100" s="50">
        <f>SD7a!E100+SD7b!E100++SD7e!E100</f>
        <v>0</v>
      </c>
      <c r="F100" s="24">
        <f>SD7a!F100+SD7b!F100++SD7e!F100</f>
        <v>0</v>
      </c>
      <c r="G100" s="23">
        <f>SD7a!G100+SD7b!G100++SD7e!G100</f>
        <v>0</v>
      </c>
      <c r="H100" s="83">
        <f>SD7a!H100+SD7b!H100++SD7e!H100</f>
        <v>0</v>
      </c>
      <c r="I100" s="24">
        <f>SD7a!I100+SD7b!I100++SD7e!I100</f>
        <v>0</v>
      </c>
      <c r="J100" s="23">
        <f>SD7a!J100+SD7b!J100++SD7e!J100</f>
        <v>0</v>
      </c>
      <c r="K100" s="83">
        <f>SD7a!K100+SD7b!K100++SD7e!K100</f>
        <v>0</v>
      </c>
    </row>
    <row r="101" spans="1:11" ht="13.15" customHeight="1" x14ac:dyDescent="0.25">
      <c r="A101" s="238" t="s">
        <v>861</v>
      </c>
      <c r="B101" s="237"/>
      <c r="C101" s="22">
        <f>SD7a!C101+SD7b!C101++SD7e!C101</f>
        <v>0</v>
      </c>
      <c r="D101" s="23">
        <f>SD7a!D101+SD7b!D101++SD7e!D101</f>
        <v>0</v>
      </c>
      <c r="E101" s="50">
        <f>SD7a!E101+SD7b!E101++SD7e!E101</f>
        <v>0</v>
      </c>
      <c r="F101" s="24">
        <f>SD7a!F101+SD7b!F101++SD7e!F101</f>
        <v>0</v>
      </c>
      <c r="G101" s="23">
        <f>SD7a!G101+SD7b!G101++SD7e!G101</f>
        <v>0</v>
      </c>
      <c r="H101" s="83">
        <f>SD7a!H101+SD7b!H101++SD7e!H101</f>
        <v>0</v>
      </c>
      <c r="I101" s="24">
        <f>SD7a!I101+SD7b!I101++SD7e!I101</f>
        <v>0</v>
      </c>
      <c r="J101" s="23">
        <f>SD7a!J101+SD7b!J101++SD7e!J101</f>
        <v>0</v>
      </c>
      <c r="K101" s="83">
        <f>SD7a!K101+SD7b!K101++SD7e!K101</f>
        <v>0</v>
      </c>
    </row>
    <row r="102" spans="1:11" ht="5.0999999999999996" customHeight="1" x14ac:dyDescent="0.25">
      <c r="A102" s="21"/>
      <c r="B102" s="237"/>
      <c r="C102" s="23"/>
      <c r="D102" s="23"/>
      <c r="E102" s="240"/>
      <c r="F102" s="241"/>
      <c r="G102" s="23"/>
      <c r="H102" s="22"/>
      <c r="I102" s="241"/>
      <c r="J102" s="23"/>
      <c r="K102" s="240"/>
    </row>
    <row r="103" spans="1:11" ht="13.15" customHeight="1" x14ac:dyDescent="0.25">
      <c r="A103" s="19" t="s">
        <v>187</v>
      </c>
      <c r="B103" s="237"/>
      <c r="C103" s="348">
        <f>SUM(C104:C108)</f>
        <v>0</v>
      </c>
      <c r="D103" s="348">
        <f t="shared" ref="D103:K103" si="13">SUM(D104:D108)</f>
        <v>0</v>
      </c>
      <c r="E103" s="384">
        <f t="shared" si="13"/>
        <v>0</v>
      </c>
      <c r="F103" s="385">
        <f t="shared" si="13"/>
        <v>0</v>
      </c>
      <c r="G103" s="348">
        <f t="shared" si="13"/>
        <v>0</v>
      </c>
      <c r="H103" s="386">
        <f t="shared" si="13"/>
        <v>0</v>
      </c>
      <c r="I103" s="385">
        <f t="shared" si="13"/>
        <v>0</v>
      </c>
      <c r="J103" s="348">
        <f t="shared" si="13"/>
        <v>0</v>
      </c>
      <c r="K103" s="384">
        <f t="shared" si="13"/>
        <v>0</v>
      </c>
    </row>
    <row r="104" spans="1:11" ht="13.15" customHeight="1" x14ac:dyDescent="0.25">
      <c r="A104" s="20" t="s">
        <v>932</v>
      </c>
      <c r="B104" s="237"/>
      <c r="C104" s="22">
        <f>SD7a!C104+SD7b!C104++SD7e!C104</f>
        <v>0</v>
      </c>
      <c r="D104" s="23">
        <f>SD7a!D104+SD7b!D104++SD7e!D104</f>
        <v>0</v>
      </c>
      <c r="E104" s="50">
        <f>SD7a!E104+SD7b!E104++SD7e!E104</f>
        <v>0</v>
      </c>
      <c r="F104" s="24">
        <f>SD7a!F104+SD7b!F104++SD7e!F104</f>
        <v>0</v>
      </c>
      <c r="G104" s="23">
        <f>SD7a!G104+SD7b!G104++SD7e!G104</f>
        <v>0</v>
      </c>
      <c r="H104" s="83">
        <f>SD7a!H104+SD7b!H104++SD7e!H104</f>
        <v>0</v>
      </c>
      <c r="I104" s="24">
        <f>SD7a!I104+SD7b!I104++SD7e!I104</f>
        <v>0</v>
      </c>
      <c r="J104" s="23">
        <f>SD7a!J104+SD7b!J104++SD7e!J104</f>
        <v>0</v>
      </c>
      <c r="K104" s="83">
        <f>SD7a!K104+SD7b!K104++SD7e!K104</f>
        <v>0</v>
      </c>
    </row>
    <row r="105" spans="1:11" ht="13.15" customHeight="1" x14ac:dyDescent="0.25">
      <c r="A105" s="20" t="s">
        <v>933</v>
      </c>
      <c r="B105" s="237"/>
      <c r="C105" s="22">
        <f>SD7a!C105+SD7b!C105++SD7e!C105</f>
        <v>0</v>
      </c>
      <c r="D105" s="23">
        <f>SD7a!D105+SD7b!D105++SD7e!D105</f>
        <v>0</v>
      </c>
      <c r="E105" s="50">
        <f>SD7a!E105+SD7b!E105++SD7e!E105</f>
        <v>0</v>
      </c>
      <c r="F105" s="24">
        <f>SD7a!F105+SD7b!F105++SD7e!F105</f>
        <v>0</v>
      </c>
      <c r="G105" s="23">
        <f>SD7a!G105+SD7b!G105++SD7e!G105</f>
        <v>0</v>
      </c>
      <c r="H105" s="83">
        <f>SD7a!H105+SD7b!H105++SD7e!H105</f>
        <v>0</v>
      </c>
      <c r="I105" s="24">
        <f>SD7a!I105+SD7b!I105++SD7e!I105</f>
        <v>0</v>
      </c>
      <c r="J105" s="23">
        <f>SD7a!J105+SD7b!J105++SD7e!J105</f>
        <v>0</v>
      </c>
      <c r="K105" s="83">
        <f>SD7a!K105+SD7b!K105++SD7e!K105</f>
        <v>0</v>
      </c>
    </row>
    <row r="106" spans="1:11" ht="13.15" customHeight="1" x14ac:dyDescent="0.25">
      <c r="A106" s="20" t="s">
        <v>934</v>
      </c>
      <c r="B106" s="237"/>
      <c r="C106" s="22">
        <f>SD7a!C106+SD7b!C106++SD7e!C106</f>
        <v>0</v>
      </c>
      <c r="D106" s="23">
        <f>SD7a!D106+SD7b!D106++SD7e!D106</f>
        <v>0</v>
      </c>
      <c r="E106" s="50">
        <f>SD7a!E106+SD7b!E106++SD7e!E106</f>
        <v>0</v>
      </c>
      <c r="F106" s="24">
        <f>SD7a!F106+SD7b!F106++SD7e!F106</f>
        <v>0</v>
      </c>
      <c r="G106" s="23">
        <f>SD7a!G106+SD7b!G106++SD7e!G106</f>
        <v>0</v>
      </c>
      <c r="H106" s="83">
        <f>SD7a!H106+SD7b!H106++SD7e!H106</f>
        <v>0</v>
      </c>
      <c r="I106" s="24">
        <f>SD7a!I106+SD7b!I106++SD7e!I106</f>
        <v>0</v>
      </c>
      <c r="J106" s="23">
        <f>SD7a!J106+SD7b!J106++SD7e!J106</f>
        <v>0</v>
      </c>
      <c r="K106" s="83">
        <f>SD7a!K106+SD7b!K106++SD7e!K106</f>
        <v>0</v>
      </c>
    </row>
    <row r="107" spans="1:11" ht="13.15" customHeight="1" x14ac:dyDescent="0.25">
      <c r="A107" s="20" t="s">
        <v>935</v>
      </c>
      <c r="B107" s="237"/>
      <c r="C107" s="22">
        <f>SD7a!C107+SD7b!C107++SD7e!C107</f>
        <v>0</v>
      </c>
      <c r="D107" s="23">
        <f>SD7a!D107+SD7b!D107++SD7e!D107</f>
        <v>0</v>
      </c>
      <c r="E107" s="50">
        <f>SD7a!E107+SD7b!E107++SD7e!E107</f>
        <v>0</v>
      </c>
      <c r="F107" s="24">
        <f>SD7a!F107+SD7b!F107++SD7e!F107</f>
        <v>0</v>
      </c>
      <c r="G107" s="23">
        <f>SD7a!G107+SD7b!G107++SD7e!G107</f>
        <v>0</v>
      </c>
      <c r="H107" s="83">
        <f>SD7a!H107+SD7b!H107++SD7e!H107</f>
        <v>0</v>
      </c>
      <c r="I107" s="24">
        <f>SD7a!I107+SD7b!I107++SD7e!I107</f>
        <v>0</v>
      </c>
      <c r="J107" s="23">
        <f>SD7a!J107+SD7b!J107++SD7e!J107</f>
        <v>0</v>
      </c>
      <c r="K107" s="83">
        <f>SD7a!K107+SD7b!K107++SD7e!K107</f>
        <v>0</v>
      </c>
    </row>
    <row r="108" spans="1:11" ht="13.15" customHeight="1" x14ac:dyDescent="0.25">
      <c r="A108" s="20" t="s">
        <v>936</v>
      </c>
      <c r="B108" s="237"/>
      <c r="C108" s="22">
        <f>SD7a!C108+SD7b!C108++SD7e!C108</f>
        <v>0</v>
      </c>
      <c r="D108" s="23">
        <f>SD7a!D108+SD7b!D108++SD7e!D108</f>
        <v>0</v>
      </c>
      <c r="E108" s="50">
        <f>SD7a!E108+SD7b!E108++SD7e!E108</f>
        <v>0</v>
      </c>
      <c r="F108" s="24">
        <f>SD7a!F108+SD7b!F108++SD7e!F108</f>
        <v>0</v>
      </c>
      <c r="G108" s="23">
        <f>SD7a!G108+SD7b!G108++SD7e!G108</f>
        <v>0</v>
      </c>
      <c r="H108" s="83">
        <f>SD7a!H108+SD7b!H108++SD7e!H108</f>
        <v>0</v>
      </c>
      <c r="I108" s="24">
        <f>SD7a!I108+SD7b!I108++SD7e!I108</f>
        <v>0</v>
      </c>
      <c r="J108" s="23">
        <f>SD7a!J108+SD7b!J108++SD7e!J108</f>
        <v>0</v>
      </c>
      <c r="K108" s="83">
        <f>SD7a!K108+SD7b!K108++SD7e!K108</f>
        <v>0</v>
      </c>
    </row>
    <row r="109" spans="1:11" ht="5.0999999999999996" customHeight="1" x14ac:dyDescent="0.25">
      <c r="A109" s="21"/>
      <c r="B109" s="237"/>
      <c r="C109" s="23"/>
      <c r="D109" s="23"/>
      <c r="E109" s="240"/>
      <c r="F109" s="241"/>
      <c r="G109" s="23"/>
      <c r="H109" s="22"/>
      <c r="I109" s="241"/>
      <c r="J109" s="23"/>
      <c r="K109" s="240"/>
    </row>
    <row r="110" spans="1:11" ht="13.15" customHeight="1" x14ac:dyDescent="0.25">
      <c r="A110" s="19" t="s">
        <v>188</v>
      </c>
      <c r="B110" s="237"/>
      <c r="C110" s="26">
        <f>+C111+C114</f>
        <v>0</v>
      </c>
      <c r="D110" s="26">
        <f t="shared" ref="D110:K110" si="14">+D111+D114</f>
        <v>0</v>
      </c>
      <c r="E110" s="233">
        <f t="shared" si="14"/>
        <v>0</v>
      </c>
      <c r="F110" s="232">
        <f t="shared" si="14"/>
        <v>0</v>
      </c>
      <c r="G110" s="26">
        <f t="shared" si="14"/>
        <v>0</v>
      </c>
      <c r="H110" s="25">
        <f t="shared" si="14"/>
        <v>0</v>
      </c>
      <c r="I110" s="232">
        <f t="shared" si="14"/>
        <v>0</v>
      </c>
      <c r="J110" s="26">
        <f t="shared" si="14"/>
        <v>0</v>
      </c>
      <c r="K110" s="233">
        <f t="shared" si="14"/>
        <v>0</v>
      </c>
    </row>
    <row r="111" spans="1:11" ht="13.15" customHeight="1" x14ac:dyDescent="0.25">
      <c r="A111" s="20" t="s">
        <v>937</v>
      </c>
      <c r="B111" s="237"/>
      <c r="C111" s="48">
        <f t="shared" ref="C111:K111" si="15">SUM(C112:C113)</f>
        <v>0</v>
      </c>
      <c r="D111" s="48">
        <f t="shared" si="15"/>
        <v>0</v>
      </c>
      <c r="E111" s="48">
        <f t="shared" si="15"/>
        <v>0</v>
      </c>
      <c r="F111" s="49">
        <f t="shared" si="15"/>
        <v>0</v>
      </c>
      <c r="G111" s="48">
        <f t="shared" si="15"/>
        <v>0</v>
      </c>
      <c r="H111" s="100">
        <f t="shared" si="15"/>
        <v>0</v>
      </c>
      <c r="I111" s="318">
        <f t="shared" si="15"/>
        <v>0</v>
      </c>
      <c r="J111" s="48">
        <f t="shared" si="15"/>
        <v>0</v>
      </c>
      <c r="K111" s="100">
        <f t="shared" si="15"/>
        <v>0</v>
      </c>
    </row>
    <row r="112" spans="1:11" ht="13.15" customHeight="1" x14ac:dyDescent="0.25">
      <c r="A112" s="238" t="s">
        <v>938</v>
      </c>
      <c r="B112" s="237"/>
      <c r="C112" s="22">
        <f>SD7a!C112+SD7b!C112++SD7e!C112</f>
        <v>0</v>
      </c>
      <c r="D112" s="23">
        <f>SD7a!D112+SD7b!D112++SD7e!D112</f>
        <v>0</v>
      </c>
      <c r="E112" s="50">
        <f>SD7a!E112+SD7b!E112++SD7e!E112</f>
        <v>0</v>
      </c>
      <c r="F112" s="24">
        <f>SD7a!F112+SD7b!F112++SD7e!F112</f>
        <v>0</v>
      </c>
      <c r="G112" s="23">
        <f>SD7a!G112+SD7b!G112++SD7e!G112</f>
        <v>0</v>
      </c>
      <c r="H112" s="83">
        <f>SD7a!H112+SD7b!H112++SD7e!H112</f>
        <v>0</v>
      </c>
      <c r="I112" s="24">
        <f>SD7a!I112+SD7b!I112++SD7e!I112</f>
        <v>0</v>
      </c>
      <c r="J112" s="23">
        <f>SD7a!J112+SD7b!J112++SD7e!J112</f>
        <v>0</v>
      </c>
      <c r="K112" s="83">
        <f>SD7a!K112+SD7b!K112++SD7e!K112</f>
        <v>0</v>
      </c>
    </row>
    <row r="113" spans="1:11" ht="13.15" customHeight="1" x14ac:dyDescent="0.25">
      <c r="A113" s="238" t="s">
        <v>939</v>
      </c>
      <c r="B113" s="237"/>
      <c r="C113" s="22">
        <f>SD7a!C113+SD7b!C113++SD7e!C113</f>
        <v>0</v>
      </c>
      <c r="D113" s="23">
        <f>SD7a!D113+SD7b!D113++SD7e!D113</f>
        <v>0</v>
      </c>
      <c r="E113" s="50">
        <f>SD7a!E113+SD7b!E113++SD7e!E113</f>
        <v>0</v>
      </c>
      <c r="F113" s="24">
        <f>SD7a!F113+SD7b!F113++SD7e!F113</f>
        <v>0</v>
      </c>
      <c r="G113" s="23">
        <f>SD7a!G113+SD7b!G113++SD7e!G113</f>
        <v>0</v>
      </c>
      <c r="H113" s="83">
        <f>SD7a!H113+SD7b!H113++SD7e!H113</f>
        <v>0</v>
      </c>
      <c r="I113" s="24">
        <f>SD7a!I113+SD7b!I113++SD7e!I113</f>
        <v>0</v>
      </c>
      <c r="J113" s="23">
        <f>SD7a!J113+SD7b!J113++SD7e!J113</f>
        <v>0</v>
      </c>
      <c r="K113" s="83">
        <f>SD7a!K113+SD7b!K113++SD7e!K113</f>
        <v>0</v>
      </c>
    </row>
    <row r="114" spans="1:11" ht="13.15" customHeight="1" x14ac:dyDescent="0.25">
      <c r="A114" s="20" t="s">
        <v>940</v>
      </c>
      <c r="B114" s="237"/>
      <c r="C114" s="23">
        <f>SUM(C115:C116)</f>
        <v>0</v>
      </c>
      <c r="D114" s="23">
        <f t="shared" ref="D114:K114" si="16">SUM(D115:D116)</f>
        <v>0</v>
      </c>
      <c r="E114" s="23">
        <f t="shared" si="16"/>
        <v>0</v>
      </c>
      <c r="F114" s="24">
        <f t="shared" si="16"/>
        <v>0</v>
      </c>
      <c r="G114" s="23">
        <f t="shared" si="16"/>
        <v>0</v>
      </c>
      <c r="H114" s="83">
        <f t="shared" si="16"/>
        <v>0</v>
      </c>
      <c r="I114" s="319">
        <f t="shared" si="16"/>
        <v>0</v>
      </c>
      <c r="J114" s="23">
        <f t="shared" si="16"/>
        <v>0</v>
      </c>
      <c r="K114" s="83">
        <f t="shared" si="16"/>
        <v>0</v>
      </c>
    </row>
    <row r="115" spans="1:11" ht="13.15" customHeight="1" x14ac:dyDescent="0.25">
      <c r="A115" s="238" t="s">
        <v>938</v>
      </c>
      <c r="B115" s="237"/>
      <c r="C115" s="22">
        <f>SD7a!C115+SD7b!C115++SD7e!C115</f>
        <v>0</v>
      </c>
      <c r="D115" s="23">
        <f>SD7a!D115+SD7b!D115++SD7e!D115</f>
        <v>0</v>
      </c>
      <c r="E115" s="50">
        <f>SD7a!E115+SD7b!E115++SD7e!E115</f>
        <v>0</v>
      </c>
      <c r="F115" s="24">
        <f>SD7a!F115+SD7b!F115++SD7e!F115</f>
        <v>0</v>
      </c>
      <c r="G115" s="23">
        <f>SD7a!G115+SD7b!G115++SD7e!G115</f>
        <v>0</v>
      </c>
      <c r="H115" s="83">
        <f>SD7a!H115+SD7b!H115++SD7e!H115</f>
        <v>0</v>
      </c>
      <c r="I115" s="24">
        <f>SD7a!I115+SD7b!I115++SD7e!I115</f>
        <v>0</v>
      </c>
      <c r="J115" s="23">
        <f>SD7a!J115+SD7b!J115++SD7e!J115</f>
        <v>0</v>
      </c>
      <c r="K115" s="83">
        <f>SD7a!K115+SD7b!K115++SD7e!K115</f>
        <v>0</v>
      </c>
    </row>
    <row r="116" spans="1:11" ht="13.15" customHeight="1" x14ac:dyDescent="0.25">
      <c r="A116" s="238" t="s">
        <v>939</v>
      </c>
      <c r="B116" s="237"/>
      <c r="C116" s="22">
        <f>SD7a!C116+SD7b!C116++SD7e!C116</f>
        <v>0</v>
      </c>
      <c r="D116" s="23">
        <f>SD7a!D116+SD7b!D116++SD7e!D116</f>
        <v>0</v>
      </c>
      <c r="E116" s="50">
        <f>SD7a!E116+SD7b!E116++SD7e!E116</f>
        <v>0</v>
      </c>
      <c r="F116" s="24">
        <f>SD7a!F116+SD7b!F116++SD7e!F116</f>
        <v>0</v>
      </c>
      <c r="G116" s="23">
        <f>SD7a!G116+SD7b!G116++SD7e!G116</f>
        <v>0</v>
      </c>
      <c r="H116" s="83">
        <f>SD7a!H116+SD7b!H116++SD7e!H116</f>
        <v>0</v>
      </c>
      <c r="I116" s="24">
        <f>SD7a!I116+SD7b!I116++SD7e!I116</f>
        <v>0</v>
      </c>
      <c r="J116" s="23">
        <f>SD7a!J116+SD7b!J116++SD7e!J116</f>
        <v>0</v>
      </c>
      <c r="K116" s="83">
        <f>SD7a!K116+SD7b!K116++SD7e!K116</f>
        <v>0</v>
      </c>
    </row>
    <row r="117" spans="1:11" ht="5.0999999999999996" customHeight="1" x14ac:dyDescent="0.25">
      <c r="A117" s="21"/>
      <c r="B117" s="237"/>
      <c r="C117" s="23"/>
      <c r="D117" s="23"/>
      <c r="E117" s="240"/>
      <c r="F117" s="241"/>
      <c r="G117" s="23"/>
      <c r="H117" s="22"/>
      <c r="I117" s="241"/>
      <c r="J117" s="23"/>
      <c r="K117" s="240"/>
    </row>
    <row r="118" spans="1:11" ht="13.15" customHeight="1" x14ac:dyDescent="0.25">
      <c r="A118" s="19" t="s">
        <v>189</v>
      </c>
      <c r="B118" s="237"/>
      <c r="C118" s="26">
        <f>+C119+C131</f>
        <v>3356108</v>
      </c>
      <c r="D118" s="26">
        <f t="shared" ref="D118:K118" si="17">+D119+D131</f>
        <v>3629594</v>
      </c>
      <c r="E118" s="233">
        <f t="shared" si="17"/>
        <v>3416099</v>
      </c>
      <c r="F118" s="232">
        <f t="shared" si="17"/>
        <v>60000</v>
      </c>
      <c r="G118" s="26">
        <f t="shared" si="17"/>
        <v>60000</v>
      </c>
      <c r="H118" s="25">
        <f t="shared" si="17"/>
        <v>60000</v>
      </c>
      <c r="I118" s="232">
        <f t="shared" si="17"/>
        <v>0</v>
      </c>
      <c r="J118" s="26">
        <f t="shared" si="17"/>
        <v>0</v>
      </c>
      <c r="K118" s="233">
        <f t="shared" si="17"/>
        <v>0</v>
      </c>
    </row>
    <row r="119" spans="1:11" ht="13.15" customHeight="1" x14ac:dyDescent="0.25">
      <c r="A119" s="20" t="s">
        <v>941</v>
      </c>
      <c r="B119" s="237"/>
      <c r="C119" s="48">
        <f>SUM(C120:C130)</f>
        <v>3356108</v>
      </c>
      <c r="D119" s="48">
        <f t="shared" ref="D119:K119" si="18">SUM(D120:D130)</f>
        <v>3629594</v>
      </c>
      <c r="E119" s="48">
        <f t="shared" si="18"/>
        <v>3416099</v>
      </c>
      <c r="F119" s="49">
        <f t="shared" si="18"/>
        <v>60000</v>
      </c>
      <c r="G119" s="48">
        <f t="shared" si="18"/>
        <v>60000</v>
      </c>
      <c r="H119" s="100">
        <f t="shared" si="18"/>
        <v>60000</v>
      </c>
      <c r="I119" s="318">
        <f t="shared" si="18"/>
        <v>0</v>
      </c>
      <c r="J119" s="48">
        <f t="shared" si="18"/>
        <v>0</v>
      </c>
      <c r="K119" s="100">
        <f t="shared" si="18"/>
        <v>0</v>
      </c>
    </row>
    <row r="120" spans="1:11" ht="13.15" customHeight="1" x14ac:dyDescent="0.25">
      <c r="A120" s="238" t="s">
        <v>942</v>
      </c>
      <c r="B120" s="237"/>
      <c r="C120" s="22">
        <f>SD7a!C120+SD7b!C120++SD7e!C120</f>
        <v>3356108</v>
      </c>
      <c r="D120" s="23">
        <f>SD7a!D120+SD7b!D120++SD7e!D120</f>
        <v>3629594</v>
      </c>
      <c r="E120" s="50">
        <f>SD7a!E120+SD7b!E120++SD7e!E120</f>
        <v>3416099</v>
      </c>
      <c r="F120" s="24">
        <f>SD7a!F120+SD7b!F120++SD7e!F120</f>
        <v>60000</v>
      </c>
      <c r="G120" s="23">
        <f>SD7a!G120+SD7b!G120++SD7e!G120</f>
        <v>60000</v>
      </c>
      <c r="H120" s="83">
        <f>SD7a!H120+SD7b!H120++SD7e!H120</f>
        <v>60000</v>
      </c>
      <c r="I120" s="24">
        <f>SD7a!I120+SD7b!I120++SD7e!I120</f>
        <v>0</v>
      </c>
      <c r="J120" s="23">
        <f>SD7a!J120+SD7b!J120++SD7e!J120</f>
        <v>0</v>
      </c>
      <c r="K120" s="83">
        <f>SD7a!K120+SD7b!K120++SD7e!K120</f>
        <v>0</v>
      </c>
    </row>
    <row r="121" spans="1:11" ht="13.15" customHeight="1" x14ac:dyDescent="0.25">
      <c r="A121" s="238" t="s">
        <v>943</v>
      </c>
      <c r="B121" s="237"/>
      <c r="C121" s="22">
        <f>SD7a!C121+SD7b!C121++SD7e!C121</f>
        <v>0</v>
      </c>
      <c r="D121" s="23">
        <f>SD7a!D121+SD7b!D121++SD7e!D121</f>
        <v>0</v>
      </c>
      <c r="E121" s="50">
        <f>SD7a!E121+SD7b!E121++SD7e!E121</f>
        <v>0</v>
      </c>
      <c r="F121" s="24">
        <f>SD7a!F121+SD7b!F121++SD7e!F121</f>
        <v>0</v>
      </c>
      <c r="G121" s="23">
        <f>SD7a!G121+SD7b!G121++SD7e!G121</f>
        <v>0</v>
      </c>
      <c r="H121" s="83">
        <f>SD7a!H121+SD7b!H121++SD7e!H121</f>
        <v>0</v>
      </c>
      <c r="I121" s="24">
        <f>SD7a!I121+SD7b!I121++SD7e!I121</f>
        <v>0</v>
      </c>
      <c r="J121" s="23">
        <f>SD7a!J121+SD7b!J121++SD7e!J121</f>
        <v>0</v>
      </c>
      <c r="K121" s="83">
        <f>SD7a!K121+SD7b!K121++SD7e!K121</f>
        <v>0</v>
      </c>
    </row>
    <row r="122" spans="1:11" ht="13.15" customHeight="1" x14ac:dyDescent="0.25">
      <c r="A122" s="238" t="s">
        <v>944</v>
      </c>
      <c r="B122" s="237"/>
      <c r="C122" s="22">
        <f>SD7a!C122+SD7b!C122++SD7e!C122</f>
        <v>0</v>
      </c>
      <c r="D122" s="23">
        <f>SD7a!D122+SD7b!D122++SD7e!D122</f>
        <v>0</v>
      </c>
      <c r="E122" s="50">
        <f>SD7a!E122+SD7b!E122++SD7e!E122</f>
        <v>0</v>
      </c>
      <c r="F122" s="24">
        <f>SD7a!F122+SD7b!F122++SD7e!F122</f>
        <v>0</v>
      </c>
      <c r="G122" s="23">
        <f>SD7a!G122+SD7b!G122++SD7e!G122</f>
        <v>0</v>
      </c>
      <c r="H122" s="83">
        <f>SD7a!H122+SD7b!H122++SD7e!H122</f>
        <v>0</v>
      </c>
      <c r="I122" s="24">
        <f>SD7a!I122+SD7b!I122++SD7e!I122</f>
        <v>0</v>
      </c>
      <c r="J122" s="23">
        <f>SD7a!J122+SD7b!J122++SD7e!J122</f>
        <v>0</v>
      </c>
      <c r="K122" s="83">
        <f>SD7a!K122+SD7b!K122++SD7e!K122</f>
        <v>0</v>
      </c>
    </row>
    <row r="123" spans="1:11" ht="13.15" customHeight="1" x14ac:dyDescent="0.25">
      <c r="A123" s="238" t="s">
        <v>945</v>
      </c>
      <c r="B123" s="237"/>
      <c r="C123" s="22">
        <f>SD7a!C123+SD7b!C123++SD7e!C123</f>
        <v>0</v>
      </c>
      <c r="D123" s="23">
        <f>SD7a!D123+SD7b!D123++SD7e!D123</f>
        <v>0</v>
      </c>
      <c r="E123" s="50">
        <f>SD7a!E123+SD7b!E123++SD7e!E123</f>
        <v>0</v>
      </c>
      <c r="F123" s="24">
        <f>SD7a!F123+SD7b!F123++SD7e!F123</f>
        <v>0</v>
      </c>
      <c r="G123" s="23">
        <f>SD7a!G123+SD7b!G123++SD7e!G123</f>
        <v>0</v>
      </c>
      <c r="H123" s="83">
        <f>SD7a!H123+SD7b!H123++SD7e!H123</f>
        <v>0</v>
      </c>
      <c r="I123" s="24">
        <f>SD7a!I123+SD7b!I123++SD7e!I123</f>
        <v>0</v>
      </c>
      <c r="J123" s="23">
        <f>SD7a!J123+SD7b!J123++SD7e!J123</f>
        <v>0</v>
      </c>
      <c r="K123" s="83">
        <f>SD7a!K123+SD7b!K123++SD7e!K123</f>
        <v>0</v>
      </c>
    </row>
    <row r="124" spans="1:11" ht="13.15" customHeight="1" x14ac:dyDescent="0.25">
      <c r="A124" s="238" t="s">
        <v>946</v>
      </c>
      <c r="B124" s="237"/>
      <c r="C124" s="22">
        <f>SD7a!C124+SD7b!C124++SD7e!C124</f>
        <v>0</v>
      </c>
      <c r="D124" s="23">
        <f>SD7a!D124+SD7b!D124++SD7e!D124</f>
        <v>0</v>
      </c>
      <c r="E124" s="50">
        <f>SD7a!E124+SD7b!E124++SD7e!E124</f>
        <v>0</v>
      </c>
      <c r="F124" s="24">
        <f>SD7a!F124+SD7b!F124++SD7e!F124</f>
        <v>0</v>
      </c>
      <c r="G124" s="23">
        <f>SD7a!G124+SD7b!G124++SD7e!G124</f>
        <v>0</v>
      </c>
      <c r="H124" s="83">
        <f>SD7a!H124+SD7b!H124++SD7e!H124</f>
        <v>0</v>
      </c>
      <c r="I124" s="24">
        <f>SD7a!I124+SD7b!I124++SD7e!I124</f>
        <v>0</v>
      </c>
      <c r="J124" s="23">
        <f>SD7a!J124+SD7b!J124++SD7e!J124</f>
        <v>0</v>
      </c>
      <c r="K124" s="83">
        <f>SD7a!K124+SD7b!K124++SD7e!K124</f>
        <v>0</v>
      </c>
    </row>
    <row r="125" spans="1:11" ht="13.15" customHeight="1" x14ac:dyDescent="0.25">
      <c r="A125" s="238" t="s">
        <v>947</v>
      </c>
      <c r="B125" s="237"/>
      <c r="C125" s="22">
        <f>SD7a!C125+SD7b!C125++SD7e!C125</f>
        <v>0</v>
      </c>
      <c r="D125" s="23">
        <f>SD7a!D125+SD7b!D125++SD7e!D125</f>
        <v>0</v>
      </c>
      <c r="E125" s="50">
        <f>SD7a!E125+SD7b!E125++SD7e!E125</f>
        <v>0</v>
      </c>
      <c r="F125" s="24">
        <f>SD7a!F125+SD7b!F125++SD7e!F125</f>
        <v>0</v>
      </c>
      <c r="G125" s="23">
        <f>SD7a!G125+SD7b!G125++SD7e!G125</f>
        <v>0</v>
      </c>
      <c r="H125" s="83">
        <f>SD7a!H125+SD7b!H125++SD7e!H125</f>
        <v>0</v>
      </c>
      <c r="I125" s="24">
        <f>SD7a!I125+SD7b!I125++SD7e!I125</f>
        <v>0</v>
      </c>
      <c r="J125" s="23">
        <f>SD7a!J125+SD7b!J125++SD7e!J125</f>
        <v>0</v>
      </c>
      <c r="K125" s="83">
        <f>SD7a!K125+SD7b!K125++SD7e!K125</f>
        <v>0</v>
      </c>
    </row>
    <row r="126" spans="1:11" ht="13.15" customHeight="1" x14ac:dyDescent="0.25">
      <c r="A126" s="238" t="s">
        <v>948</v>
      </c>
      <c r="B126" s="237"/>
      <c r="C126" s="22">
        <f>SD7a!C126+SD7b!C126++SD7e!C126</f>
        <v>0</v>
      </c>
      <c r="D126" s="23">
        <f>SD7a!D126+SD7b!D126++SD7e!D126</f>
        <v>0</v>
      </c>
      <c r="E126" s="50">
        <f>SD7a!E126+SD7b!E126++SD7e!E126</f>
        <v>0</v>
      </c>
      <c r="F126" s="24">
        <f>SD7a!F126+SD7b!F126++SD7e!F126</f>
        <v>0</v>
      </c>
      <c r="G126" s="23">
        <f>SD7a!G126+SD7b!G126++SD7e!G126</f>
        <v>0</v>
      </c>
      <c r="H126" s="83">
        <f>SD7a!H126+SD7b!H126++SD7e!H126</f>
        <v>0</v>
      </c>
      <c r="I126" s="24">
        <f>SD7a!I126+SD7b!I126++SD7e!I126</f>
        <v>0</v>
      </c>
      <c r="J126" s="23">
        <f>SD7a!J126+SD7b!J126++SD7e!J126</f>
        <v>0</v>
      </c>
      <c r="K126" s="83">
        <f>SD7a!K126+SD7b!K126++SD7e!K126</f>
        <v>0</v>
      </c>
    </row>
    <row r="127" spans="1:11" ht="13.15" customHeight="1" x14ac:dyDescent="0.25">
      <c r="A127" s="238" t="s">
        <v>949</v>
      </c>
      <c r="B127" s="237"/>
      <c r="C127" s="22">
        <f>SD7a!C127+SD7b!C127++SD7e!C127</f>
        <v>0</v>
      </c>
      <c r="D127" s="23">
        <f>SD7a!D127+SD7b!D127++SD7e!D127</f>
        <v>0</v>
      </c>
      <c r="E127" s="50">
        <f>SD7a!E127+SD7b!E127++SD7e!E127</f>
        <v>0</v>
      </c>
      <c r="F127" s="24">
        <f>SD7a!F127+SD7b!F127++SD7e!F127</f>
        <v>0</v>
      </c>
      <c r="G127" s="23">
        <f>SD7a!G127+SD7b!G127++SD7e!G127</f>
        <v>0</v>
      </c>
      <c r="H127" s="83">
        <f>SD7a!H127+SD7b!H127++SD7e!H127</f>
        <v>0</v>
      </c>
      <c r="I127" s="24">
        <f>SD7a!I127+SD7b!I127++SD7e!I127</f>
        <v>0</v>
      </c>
      <c r="J127" s="23">
        <f>SD7a!J127+SD7b!J127++SD7e!J127</f>
        <v>0</v>
      </c>
      <c r="K127" s="83">
        <f>SD7a!K127+SD7b!K127++SD7e!K127</f>
        <v>0</v>
      </c>
    </row>
    <row r="128" spans="1:11" ht="13.15" customHeight="1" x14ac:dyDescent="0.25">
      <c r="A128" s="238" t="s">
        <v>950</v>
      </c>
      <c r="B128" s="237"/>
      <c r="C128" s="22">
        <f>SD7a!C128+SD7b!C128++SD7e!C128</f>
        <v>0</v>
      </c>
      <c r="D128" s="23">
        <f>SD7a!D128+SD7b!D128++SD7e!D128</f>
        <v>0</v>
      </c>
      <c r="E128" s="50">
        <f>SD7a!E128+SD7b!E128++SD7e!E128</f>
        <v>0</v>
      </c>
      <c r="F128" s="24">
        <f>SD7a!F128+SD7b!F128++SD7e!F128</f>
        <v>0</v>
      </c>
      <c r="G128" s="23">
        <f>SD7a!G128+SD7b!G128++SD7e!G128</f>
        <v>0</v>
      </c>
      <c r="H128" s="83">
        <f>SD7a!H128+SD7b!H128++SD7e!H128</f>
        <v>0</v>
      </c>
      <c r="I128" s="24">
        <f>SD7a!I128+SD7b!I128++SD7e!I128</f>
        <v>0</v>
      </c>
      <c r="J128" s="23">
        <f>SD7a!J128+SD7b!J128++SD7e!J128</f>
        <v>0</v>
      </c>
      <c r="K128" s="83">
        <f>SD7a!K128+SD7b!K128++SD7e!K128</f>
        <v>0</v>
      </c>
    </row>
    <row r="129" spans="1:11" ht="13.15" customHeight="1" x14ac:dyDescent="0.25">
      <c r="A129" s="238" t="s">
        <v>951</v>
      </c>
      <c r="B129" s="237"/>
      <c r="C129" s="22">
        <f>SD7a!C129+SD7b!C129++SD7e!C129</f>
        <v>0</v>
      </c>
      <c r="D129" s="23">
        <f>SD7a!D129+SD7b!D129++SD7e!D129</f>
        <v>0</v>
      </c>
      <c r="E129" s="50">
        <f>SD7a!E129+SD7b!E129++SD7e!E129</f>
        <v>0</v>
      </c>
      <c r="F129" s="24">
        <f>SD7a!F129+SD7b!F129++SD7e!F129</f>
        <v>0</v>
      </c>
      <c r="G129" s="23">
        <f>SD7a!G129+SD7b!G129++SD7e!G129</f>
        <v>0</v>
      </c>
      <c r="H129" s="83">
        <f>SD7a!H129+SD7b!H129++SD7e!H129</f>
        <v>0</v>
      </c>
      <c r="I129" s="24">
        <f>SD7a!I129+SD7b!I129++SD7e!I129</f>
        <v>0</v>
      </c>
      <c r="J129" s="23">
        <f>SD7a!J129+SD7b!J129++SD7e!J129</f>
        <v>0</v>
      </c>
      <c r="K129" s="83">
        <f>SD7a!K129+SD7b!K129++SD7e!K129</f>
        <v>0</v>
      </c>
    </row>
    <row r="130" spans="1:11" ht="13.15" customHeight="1" x14ac:dyDescent="0.25">
      <c r="A130" s="238" t="s">
        <v>861</v>
      </c>
      <c r="B130" s="237"/>
      <c r="C130" s="22">
        <f>SD7a!C130+SD7b!C130++SD7e!C130</f>
        <v>0</v>
      </c>
      <c r="D130" s="23">
        <f>SD7a!D130+SD7b!D130++SD7e!D130</f>
        <v>0</v>
      </c>
      <c r="E130" s="50">
        <f>SD7a!E130+SD7b!E130++SD7e!E130</f>
        <v>0</v>
      </c>
      <c r="F130" s="24">
        <f>SD7a!F130+SD7b!F130++SD7e!F130</f>
        <v>0</v>
      </c>
      <c r="G130" s="23">
        <f>SD7a!G130+SD7b!G130++SD7e!G130</f>
        <v>0</v>
      </c>
      <c r="H130" s="83">
        <f>SD7a!H130+SD7b!H130++SD7e!H130</f>
        <v>0</v>
      </c>
      <c r="I130" s="24">
        <f>SD7a!I130+SD7b!I130++SD7e!I130</f>
        <v>0</v>
      </c>
      <c r="J130" s="23">
        <f>SD7a!J130+SD7b!J130++SD7e!J130</f>
        <v>0</v>
      </c>
      <c r="K130" s="83">
        <f>SD7a!K130+SD7b!K130++SD7e!K130</f>
        <v>0</v>
      </c>
    </row>
    <row r="131" spans="1:11" ht="13.15" customHeight="1" x14ac:dyDescent="0.25">
      <c r="A131" s="20" t="s">
        <v>952</v>
      </c>
      <c r="B131" s="237"/>
      <c r="C131" s="23">
        <f>SUM(C132:C134)</f>
        <v>0</v>
      </c>
      <c r="D131" s="23">
        <f t="shared" ref="D131:K131" si="19">SUM(D132:D134)</f>
        <v>0</v>
      </c>
      <c r="E131" s="23">
        <f t="shared" si="19"/>
        <v>0</v>
      </c>
      <c r="F131" s="24">
        <f t="shared" si="19"/>
        <v>0</v>
      </c>
      <c r="G131" s="23">
        <f t="shared" si="19"/>
        <v>0</v>
      </c>
      <c r="H131" s="83">
        <f t="shared" si="19"/>
        <v>0</v>
      </c>
      <c r="I131" s="319">
        <f t="shared" si="19"/>
        <v>0</v>
      </c>
      <c r="J131" s="23">
        <f t="shared" si="19"/>
        <v>0</v>
      </c>
      <c r="K131" s="83">
        <f t="shared" si="19"/>
        <v>0</v>
      </c>
    </row>
    <row r="132" spans="1:11" ht="13.15" customHeight="1" x14ac:dyDescent="0.25">
      <c r="A132" s="238" t="s">
        <v>953</v>
      </c>
      <c r="B132" s="237"/>
      <c r="C132" s="22">
        <f>SD7a!C132+SD7b!C132++SD7e!C132</f>
        <v>0</v>
      </c>
      <c r="D132" s="23">
        <f>SD7a!D132+SD7b!D132++SD7e!D132</f>
        <v>0</v>
      </c>
      <c r="E132" s="50">
        <f>SD7a!E132+SD7b!E132++SD7e!E132</f>
        <v>0</v>
      </c>
      <c r="F132" s="24">
        <f>SD7a!F132+SD7b!F132++SD7e!F132</f>
        <v>0</v>
      </c>
      <c r="G132" s="23">
        <f>SD7a!G132+SD7b!G132++SD7e!G132</f>
        <v>0</v>
      </c>
      <c r="H132" s="83">
        <f>SD7a!H132+SD7b!H132++SD7e!H132</f>
        <v>0</v>
      </c>
      <c r="I132" s="24">
        <f>SD7a!I132+SD7b!I132++SD7e!I132</f>
        <v>0</v>
      </c>
      <c r="J132" s="23">
        <f>SD7a!J132+SD7b!J132++SD7e!J132</f>
        <v>0</v>
      </c>
      <c r="K132" s="83">
        <f>SD7a!K132+SD7b!K132++SD7e!K132</f>
        <v>0</v>
      </c>
    </row>
    <row r="133" spans="1:11" ht="13.15" customHeight="1" x14ac:dyDescent="0.25">
      <c r="A133" s="238" t="s">
        <v>954</v>
      </c>
      <c r="B133" s="237"/>
      <c r="C133" s="22">
        <f>SD7a!C133+SD7b!C133++SD7e!C133</f>
        <v>0</v>
      </c>
      <c r="D133" s="23">
        <f>SD7a!D133+SD7b!D133++SD7e!D133</f>
        <v>0</v>
      </c>
      <c r="E133" s="50">
        <f>SD7a!E133+SD7b!E133++SD7e!E133</f>
        <v>0</v>
      </c>
      <c r="F133" s="24">
        <f>SD7a!F133+SD7b!F133++SD7e!F133</f>
        <v>0</v>
      </c>
      <c r="G133" s="23">
        <f>SD7a!G133+SD7b!G133++SD7e!G133</f>
        <v>0</v>
      </c>
      <c r="H133" s="83">
        <f>SD7a!H133+SD7b!H133++SD7e!H133</f>
        <v>0</v>
      </c>
      <c r="I133" s="24">
        <f>SD7a!I133+SD7b!I133++SD7e!I133</f>
        <v>0</v>
      </c>
      <c r="J133" s="23">
        <f>SD7a!J133+SD7b!J133++SD7e!J133</f>
        <v>0</v>
      </c>
      <c r="K133" s="83">
        <f>SD7a!K133+SD7b!K133++SD7e!K133</f>
        <v>0</v>
      </c>
    </row>
    <row r="134" spans="1:11" ht="13.15" customHeight="1" x14ac:dyDescent="0.25">
      <c r="A134" s="238" t="s">
        <v>861</v>
      </c>
      <c r="B134" s="237"/>
      <c r="C134" s="22">
        <f>SD7a!C134+SD7b!C134++SD7e!C134</f>
        <v>0</v>
      </c>
      <c r="D134" s="23">
        <f>SD7a!D134+SD7b!D134++SD7e!D134</f>
        <v>0</v>
      </c>
      <c r="E134" s="50">
        <f>SD7a!E134+SD7b!E134++SD7e!E134</f>
        <v>0</v>
      </c>
      <c r="F134" s="24">
        <f>SD7a!F134+SD7b!F134++SD7e!F134</f>
        <v>0</v>
      </c>
      <c r="G134" s="23">
        <f>SD7a!G134+SD7b!G134++SD7e!G134</f>
        <v>0</v>
      </c>
      <c r="H134" s="83">
        <f>SD7a!H134+SD7b!H134++SD7e!H134</f>
        <v>0</v>
      </c>
      <c r="I134" s="24">
        <f>SD7a!I134+SD7b!I134++SD7e!I134</f>
        <v>0</v>
      </c>
      <c r="J134" s="23">
        <f>SD7a!J134+SD7b!J134++SD7e!J134</f>
        <v>0</v>
      </c>
      <c r="K134" s="83">
        <f>SD7a!K134+SD7b!K134++SD7e!K134</f>
        <v>0</v>
      </c>
    </row>
    <row r="135" spans="1:11" ht="5.0999999999999996" customHeight="1" x14ac:dyDescent="0.25">
      <c r="A135" s="242"/>
      <c r="B135" s="237"/>
      <c r="C135" s="23"/>
      <c r="D135" s="23"/>
      <c r="E135" s="240"/>
      <c r="F135" s="241"/>
      <c r="G135" s="23"/>
      <c r="H135" s="22"/>
      <c r="I135" s="241"/>
      <c r="J135" s="23"/>
      <c r="K135" s="240"/>
    </row>
    <row r="136" spans="1:11" ht="13.15" customHeight="1" x14ac:dyDescent="0.25">
      <c r="A136" s="19" t="s">
        <v>955</v>
      </c>
      <c r="B136" s="237"/>
      <c r="C136" s="348">
        <f t="shared" ref="C136:K136" si="20">SUM(C137:C137)</f>
        <v>0</v>
      </c>
      <c r="D136" s="348">
        <f t="shared" si="20"/>
        <v>0</v>
      </c>
      <c r="E136" s="384">
        <f t="shared" si="20"/>
        <v>0</v>
      </c>
      <c r="F136" s="385">
        <f t="shared" si="20"/>
        <v>0</v>
      </c>
      <c r="G136" s="348">
        <f t="shared" si="20"/>
        <v>0</v>
      </c>
      <c r="H136" s="386">
        <f t="shared" si="20"/>
        <v>0</v>
      </c>
      <c r="I136" s="385">
        <f t="shared" si="20"/>
        <v>0</v>
      </c>
      <c r="J136" s="348">
        <f t="shared" si="20"/>
        <v>0</v>
      </c>
      <c r="K136" s="384">
        <f t="shared" si="20"/>
        <v>0</v>
      </c>
    </row>
    <row r="137" spans="1:11" ht="13.15" customHeight="1" x14ac:dyDescent="0.25">
      <c r="A137" s="20" t="s">
        <v>955</v>
      </c>
      <c r="B137" s="237"/>
      <c r="C137" s="22">
        <f>SD7a!C137+SD7b!C137++SD7e!C137</f>
        <v>0</v>
      </c>
      <c r="D137" s="23">
        <f>SD7a!D137+SD7b!D137++SD7e!D137</f>
        <v>0</v>
      </c>
      <c r="E137" s="50">
        <f>SD7a!E137+SD7b!E137++SD7e!E137</f>
        <v>0</v>
      </c>
      <c r="F137" s="24">
        <f>SD7a!F137+SD7b!F137++SD7e!F137</f>
        <v>0</v>
      </c>
      <c r="G137" s="23">
        <f>SD7a!G137+SD7b!G137++SD7e!G137</f>
        <v>0</v>
      </c>
      <c r="H137" s="83">
        <f>SD7a!H137+SD7b!H137++SD7e!H137</f>
        <v>0</v>
      </c>
      <c r="I137" s="24">
        <f>SD7a!I137+SD7b!I137++SD7e!I137</f>
        <v>0</v>
      </c>
      <c r="J137" s="23">
        <f>SD7a!J137+SD7b!J137++SD7e!J137</f>
        <v>0</v>
      </c>
      <c r="K137" s="83">
        <f>SD7a!K137+SD7b!K137++SD7e!K137</f>
        <v>0</v>
      </c>
    </row>
    <row r="138" spans="1:11" ht="5.0999999999999996" customHeight="1" x14ac:dyDescent="0.25">
      <c r="A138" s="21"/>
      <c r="B138" s="237"/>
      <c r="C138" s="23"/>
      <c r="D138" s="23"/>
      <c r="E138" s="240"/>
      <c r="F138" s="241"/>
      <c r="G138" s="23"/>
      <c r="H138" s="22"/>
      <c r="I138" s="241"/>
      <c r="J138" s="23"/>
      <c r="K138" s="240"/>
    </row>
    <row r="139" spans="1:11" ht="13.15" customHeight="1" x14ac:dyDescent="0.25">
      <c r="A139" s="19" t="s">
        <v>956</v>
      </c>
      <c r="B139" s="237"/>
      <c r="C139" s="348">
        <f>+C140+C141</f>
        <v>478380</v>
      </c>
      <c r="D139" s="348">
        <f t="shared" ref="D139:K139" si="21">+D140+D141</f>
        <v>681295</v>
      </c>
      <c r="E139" s="384">
        <f t="shared" si="21"/>
        <v>364995</v>
      </c>
      <c r="F139" s="385">
        <f t="shared" si="21"/>
        <v>400000</v>
      </c>
      <c r="G139" s="348">
        <f t="shared" si="21"/>
        <v>400000</v>
      </c>
      <c r="H139" s="386">
        <f t="shared" si="21"/>
        <v>400000</v>
      </c>
      <c r="I139" s="385">
        <f t="shared" si="21"/>
        <v>0</v>
      </c>
      <c r="J139" s="348">
        <f t="shared" si="21"/>
        <v>0</v>
      </c>
      <c r="K139" s="384">
        <f t="shared" si="21"/>
        <v>0</v>
      </c>
    </row>
    <row r="140" spans="1:11" ht="13.15" customHeight="1" x14ac:dyDescent="0.25">
      <c r="A140" s="20" t="s">
        <v>957</v>
      </c>
      <c r="B140" s="237"/>
      <c r="C140" s="22">
        <f>SD7a!C140+SD7b!C140++SD7e!C140</f>
        <v>0</v>
      </c>
      <c r="D140" s="23">
        <f>SD7a!D140+SD7b!D140++SD7e!D140</f>
        <v>0</v>
      </c>
      <c r="E140" s="50">
        <f>SD7a!E140+SD7b!E140++SD7e!E140</f>
        <v>0</v>
      </c>
      <c r="F140" s="24">
        <f>SD7a!F140+SD7b!F140++SD7e!F140</f>
        <v>0</v>
      </c>
      <c r="G140" s="23">
        <f>SD7a!G140+SD7b!G140++SD7e!G140</f>
        <v>0</v>
      </c>
      <c r="H140" s="83">
        <f>SD7a!H140+SD7b!H140++SD7e!H140</f>
        <v>0</v>
      </c>
      <c r="I140" s="24">
        <f>SD7a!I140+SD7b!I140++SD7e!I140</f>
        <v>0</v>
      </c>
      <c r="J140" s="23">
        <f>SD7a!J140+SD7b!J140++SD7e!J140</f>
        <v>0</v>
      </c>
      <c r="K140" s="83">
        <f>SD7a!K140+SD7b!K140++SD7e!K140</f>
        <v>0</v>
      </c>
    </row>
    <row r="141" spans="1:11" ht="13.15" customHeight="1" x14ac:dyDescent="0.25">
      <c r="A141" s="20" t="s">
        <v>958</v>
      </c>
      <c r="B141" s="237"/>
      <c r="C141" s="23">
        <f>SUM(C142:C147)</f>
        <v>478380</v>
      </c>
      <c r="D141" s="23">
        <f t="shared" ref="D141:K141" si="22">SUM(D142:D147)</f>
        <v>681295</v>
      </c>
      <c r="E141" s="23">
        <f t="shared" si="22"/>
        <v>364995</v>
      </c>
      <c r="F141" s="24">
        <f t="shared" si="22"/>
        <v>400000</v>
      </c>
      <c r="G141" s="23">
        <f t="shared" si="22"/>
        <v>400000</v>
      </c>
      <c r="H141" s="83">
        <f t="shared" si="22"/>
        <v>400000</v>
      </c>
      <c r="I141" s="319">
        <f t="shared" si="22"/>
        <v>0</v>
      </c>
      <c r="J141" s="23">
        <f t="shared" si="22"/>
        <v>0</v>
      </c>
      <c r="K141" s="83">
        <f t="shared" si="22"/>
        <v>0</v>
      </c>
    </row>
    <row r="142" spans="1:11" ht="13.15" customHeight="1" x14ac:dyDescent="0.25">
      <c r="A142" s="238" t="s">
        <v>959</v>
      </c>
      <c r="B142" s="237"/>
      <c r="C142" s="22">
        <f>SD7a!C142+SD7b!C142++SD7e!C142</f>
        <v>0</v>
      </c>
      <c r="D142" s="23">
        <f>SD7a!D142+SD7b!D142++SD7e!D142</f>
        <v>0</v>
      </c>
      <c r="E142" s="50">
        <f>SD7a!E142+SD7b!E142++SD7e!E142</f>
        <v>0</v>
      </c>
      <c r="F142" s="24">
        <f>SD7a!F142+SD7b!F142++SD7e!F142</f>
        <v>0</v>
      </c>
      <c r="G142" s="23">
        <f>SD7a!G142+SD7b!G142++SD7e!G142</f>
        <v>0</v>
      </c>
      <c r="H142" s="83">
        <f>SD7a!H142+SD7b!H142++SD7e!H142</f>
        <v>0</v>
      </c>
      <c r="I142" s="24">
        <f>SD7a!I142+SD7b!I142++SD7e!I142</f>
        <v>0</v>
      </c>
      <c r="J142" s="23">
        <f>SD7a!J142+SD7b!J142++SD7e!J142</f>
        <v>0</v>
      </c>
      <c r="K142" s="83">
        <f>SD7a!K142+SD7b!K142++SD7e!K142</f>
        <v>0</v>
      </c>
    </row>
    <row r="143" spans="1:11" ht="13.15" customHeight="1" x14ac:dyDescent="0.25">
      <c r="A143" s="238" t="s">
        <v>960</v>
      </c>
      <c r="B143" s="237"/>
      <c r="C143" s="22">
        <f>SD7a!C143+SD7b!C143++SD7e!C143</f>
        <v>0</v>
      </c>
      <c r="D143" s="23">
        <f>SD7a!D143+SD7b!D143++SD7e!D143</f>
        <v>0</v>
      </c>
      <c r="E143" s="50">
        <f>SD7a!E143+SD7b!E143++SD7e!E143</f>
        <v>0</v>
      </c>
      <c r="F143" s="24">
        <f>SD7a!F143+SD7b!F143++SD7e!F143</f>
        <v>0</v>
      </c>
      <c r="G143" s="23">
        <f>SD7a!G143+SD7b!G143++SD7e!G143</f>
        <v>0</v>
      </c>
      <c r="H143" s="83">
        <f>SD7a!H143+SD7b!H143++SD7e!H143</f>
        <v>0</v>
      </c>
      <c r="I143" s="24">
        <f>SD7a!I143+SD7b!I143++SD7e!I143</f>
        <v>0</v>
      </c>
      <c r="J143" s="23">
        <f>SD7a!J143+SD7b!J143++SD7e!J143</f>
        <v>0</v>
      </c>
      <c r="K143" s="83">
        <f>SD7a!K143+SD7b!K143++SD7e!K143</f>
        <v>0</v>
      </c>
    </row>
    <row r="144" spans="1:11" ht="13.15" customHeight="1" x14ac:dyDescent="0.25">
      <c r="A144" s="238" t="s">
        <v>961</v>
      </c>
      <c r="B144" s="237"/>
      <c r="C144" s="22">
        <f>SD7a!C144+SD7b!C144++SD7e!C144</f>
        <v>0</v>
      </c>
      <c r="D144" s="23">
        <f>SD7a!D144+SD7b!D144++SD7e!D144</f>
        <v>0</v>
      </c>
      <c r="E144" s="50">
        <f>SD7a!E144+SD7b!E144++SD7e!E144</f>
        <v>0</v>
      </c>
      <c r="F144" s="24">
        <f>SD7a!F144+SD7b!F144++SD7e!F144</f>
        <v>0</v>
      </c>
      <c r="G144" s="23">
        <f>SD7a!G144+SD7b!G144++SD7e!G144</f>
        <v>0</v>
      </c>
      <c r="H144" s="83">
        <f>SD7a!H144+SD7b!H144++SD7e!H144</f>
        <v>0</v>
      </c>
      <c r="I144" s="24">
        <f>SD7a!I144+SD7b!I144++SD7e!I144</f>
        <v>0</v>
      </c>
      <c r="J144" s="23">
        <f>SD7a!J144+SD7b!J144++SD7e!J144</f>
        <v>0</v>
      </c>
      <c r="K144" s="83">
        <f>SD7a!K144+SD7b!K144++SD7e!K144</f>
        <v>0</v>
      </c>
    </row>
    <row r="145" spans="1:11" ht="13.15" customHeight="1" x14ac:dyDescent="0.25">
      <c r="A145" s="238" t="s">
        <v>962</v>
      </c>
      <c r="B145" s="237"/>
      <c r="C145" s="22">
        <f>SD7a!C145+SD7b!C145++SD7e!C145</f>
        <v>478380</v>
      </c>
      <c r="D145" s="23">
        <f>SD7a!D145+SD7b!D145++SD7e!D145</f>
        <v>681295</v>
      </c>
      <c r="E145" s="50">
        <f>SD7a!E145+SD7b!E145++SD7e!E145</f>
        <v>364995</v>
      </c>
      <c r="F145" s="24">
        <f>SD7a!F145+SD7b!F145++SD7e!F145</f>
        <v>400000</v>
      </c>
      <c r="G145" s="23">
        <f>SD7a!G145+SD7b!G145++SD7e!G145</f>
        <v>400000</v>
      </c>
      <c r="H145" s="83">
        <f>SD7a!H145+SD7b!H145++SD7e!H145</f>
        <v>400000</v>
      </c>
      <c r="I145" s="24">
        <f>SD7a!I145+SD7b!I145++SD7e!I145</f>
        <v>0</v>
      </c>
      <c r="J145" s="23">
        <f>SD7a!J145+SD7b!J145++SD7e!J145</f>
        <v>0</v>
      </c>
      <c r="K145" s="83">
        <f>SD7a!K145+SD7b!K145++SD7e!K145</f>
        <v>0</v>
      </c>
    </row>
    <row r="146" spans="1:11" ht="13.15" customHeight="1" x14ac:dyDescent="0.25">
      <c r="A146" s="238" t="s">
        <v>963</v>
      </c>
      <c r="B146" s="237"/>
      <c r="C146" s="22">
        <f>SD7a!C146+SD7b!C146++SD7e!C146</f>
        <v>0</v>
      </c>
      <c r="D146" s="23">
        <f>SD7a!D146+SD7b!D146++SD7e!D146</f>
        <v>0</v>
      </c>
      <c r="E146" s="50">
        <f>SD7a!E146+SD7b!E146++SD7e!E146</f>
        <v>0</v>
      </c>
      <c r="F146" s="24">
        <f>SD7a!F146+SD7b!F146++SD7e!F146</f>
        <v>0</v>
      </c>
      <c r="G146" s="23">
        <f>SD7a!G146+SD7b!G146++SD7e!G146</f>
        <v>0</v>
      </c>
      <c r="H146" s="83">
        <f>SD7a!H146+SD7b!H146++SD7e!H146</f>
        <v>0</v>
      </c>
      <c r="I146" s="24">
        <f>SD7a!I146+SD7b!I146++SD7e!I146</f>
        <v>0</v>
      </c>
      <c r="J146" s="23">
        <f>SD7a!J146+SD7b!J146++SD7e!J146</f>
        <v>0</v>
      </c>
      <c r="K146" s="83">
        <f>SD7a!K146+SD7b!K146++SD7e!K146</f>
        <v>0</v>
      </c>
    </row>
    <row r="147" spans="1:11" ht="13.15" customHeight="1" x14ac:dyDescent="0.25">
      <c r="A147" s="238" t="s">
        <v>964</v>
      </c>
      <c r="B147" s="237"/>
      <c r="C147" s="22">
        <f>SD7a!C147+SD7b!C147++SD7e!C147</f>
        <v>0</v>
      </c>
      <c r="D147" s="23">
        <f>SD7a!D147+SD7b!D147++SD7e!D147</f>
        <v>0</v>
      </c>
      <c r="E147" s="50">
        <f>SD7a!E147+SD7b!E147++SD7e!E147</f>
        <v>0</v>
      </c>
      <c r="F147" s="24">
        <f>SD7a!F147+SD7b!F147++SD7e!F147</f>
        <v>0</v>
      </c>
      <c r="G147" s="23">
        <f>SD7a!G147+SD7b!G147++SD7e!G147</f>
        <v>0</v>
      </c>
      <c r="H147" s="83">
        <f>SD7a!H147+SD7b!H147++SD7e!H147</f>
        <v>0</v>
      </c>
      <c r="I147" s="24">
        <f>SD7a!I147+SD7b!I147++SD7e!I147</f>
        <v>0</v>
      </c>
      <c r="J147" s="23">
        <f>SD7a!J147+SD7b!J147++SD7e!J147</f>
        <v>0</v>
      </c>
      <c r="K147" s="83">
        <f>SD7a!K147+SD7b!K147++SD7e!K147</f>
        <v>0</v>
      </c>
    </row>
    <row r="148" spans="1:11" ht="5.0999999999999996" customHeight="1" x14ac:dyDescent="0.25">
      <c r="A148" s="21"/>
      <c r="B148" s="237"/>
      <c r="C148" s="26"/>
      <c r="D148" s="26"/>
      <c r="E148" s="233"/>
      <c r="F148" s="232"/>
      <c r="G148" s="26"/>
      <c r="H148" s="25"/>
      <c r="I148" s="232"/>
      <c r="J148" s="26"/>
      <c r="K148" s="233"/>
    </row>
    <row r="149" spans="1:11" ht="13.15" customHeight="1" x14ac:dyDescent="0.25">
      <c r="A149" s="19" t="s">
        <v>965</v>
      </c>
      <c r="B149" s="237"/>
      <c r="C149" s="348">
        <f t="shared" ref="C149:K149" si="23">SUM(C150:C150)</f>
        <v>355103</v>
      </c>
      <c r="D149" s="348">
        <f t="shared" si="23"/>
        <v>278699</v>
      </c>
      <c r="E149" s="384">
        <f t="shared" si="23"/>
        <v>222741</v>
      </c>
      <c r="F149" s="385">
        <f t="shared" si="23"/>
        <v>20000</v>
      </c>
      <c r="G149" s="348">
        <f t="shared" si="23"/>
        <v>20000</v>
      </c>
      <c r="H149" s="386">
        <f t="shared" si="23"/>
        <v>20000</v>
      </c>
      <c r="I149" s="385">
        <f t="shared" si="23"/>
        <v>0</v>
      </c>
      <c r="J149" s="348">
        <f t="shared" si="23"/>
        <v>0</v>
      </c>
      <c r="K149" s="384">
        <f t="shared" si="23"/>
        <v>0</v>
      </c>
    </row>
    <row r="150" spans="1:11" ht="13.15" customHeight="1" x14ac:dyDescent="0.25">
      <c r="A150" s="20" t="s">
        <v>965</v>
      </c>
      <c r="B150" s="237"/>
      <c r="C150" s="22">
        <f>SD7a!C150+SD7b!C150++SD7e!C150</f>
        <v>355103</v>
      </c>
      <c r="D150" s="23">
        <f>SD7a!D150+SD7b!D150++SD7e!D150</f>
        <v>278699</v>
      </c>
      <c r="E150" s="50">
        <f>SD7a!E150+SD7b!E150++SD7e!E150</f>
        <v>222741</v>
      </c>
      <c r="F150" s="24">
        <f>SD7a!F150+SD7b!F150++SD7e!F150</f>
        <v>20000</v>
      </c>
      <c r="G150" s="23">
        <f>SD7a!G150+SD7b!G150++SD7e!G150</f>
        <v>20000</v>
      </c>
      <c r="H150" s="83">
        <f>SD7a!H150+SD7b!H150++SD7e!H150</f>
        <v>20000</v>
      </c>
      <c r="I150" s="24">
        <f>SD7a!I150+SD7b!I150++SD7e!I150</f>
        <v>0</v>
      </c>
      <c r="J150" s="23">
        <f>SD7a!J150+SD7b!J150++SD7e!J150</f>
        <v>0</v>
      </c>
      <c r="K150" s="83">
        <f>SD7a!K150+SD7b!K150++SD7e!K150</f>
        <v>0</v>
      </c>
    </row>
    <row r="151" spans="1:11" ht="5.0999999999999996" customHeight="1" x14ac:dyDescent="0.25">
      <c r="A151" s="21"/>
      <c r="B151" s="237"/>
      <c r="C151" s="23"/>
      <c r="D151" s="23"/>
      <c r="E151" s="240"/>
      <c r="F151" s="241"/>
      <c r="G151" s="23"/>
      <c r="H151" s="22"/>
      <c r="I151" s="241"/>
      <c r="J151" s="23"/>
      <c r="K151" s="240"/>
    </row>
    <row r="152" spans="1:11" ht="13.15" customHeight="1" x14ac:dyDescent="0.25">
      <c r="A152" s="19" t="s">
        <v>966</v>
      </c>
      <c r="B152" s="237"/>
      <c r="C152" s="348">
        <f t="shared" ref="C152:K152" si="24">SUM(C153:C153)</f>
        <v>519022</v>
      </c>
      <c r="D152" s="348">
        <f t="shared" si="24"/>
        <v>419406</v>
      </c>
      <c r="E152" s="384">
        <f t="shared" si="24"/>
        <v>324693</v>
      </c>
      <c r="F152" s="385">
        <f t="shared" si="24"/>
        <v>7301</v>
      </c>
      <c r="G152" s="348">
        <f t="shared" si="24"/>
        <v>7301</v>
      </c>
      <c r="H152" s="386">
        <f t="shared" si="24"/>
        <v>7301</v>
      </c>
      <c r="I152" s="385">
        <f t="shared" si="24"/>
        <v>0</v>
      </c>
      <c r="J152" s="348">
        <f t="shared" si="24"/>
        <v>0</v>
      </c>
      <c r="K152" s="384">
        <f t="shared" si="24"/>
        <v>0</v>
      </c>
    </row>
    <row r="153" spans="1:11" ht="13.15" customHeight="1" x14ac:dyDescent="0.25">
      <c r="A153" s="20" t="s">
        <v>966</v>
      </c>
      <c r="B153" s="237"/>
      <c r="C153" s="22">
        <f>SD7a!C153+SD7b!C153++SD7e!C153</f>
        <v>519022</v>
      </c>
      <c r="D153" s="23">
        <f>SD7a!D153+SD7b!D153++SD7e!D153</f>
        <v>419406</v>
      </c>
      <c r="E153" s="50">
        <f>SD7a!E153+SD7b!E153++SD7e!E153</f>
        <v>324693</v>
      </c>
      <c r="F153" s="24">
        <f>SD7a!F153+SD7b!F153++SD7e!F153</f>
        <v>7301</v>
      </c>
      <c r="G153" s="23">
        <f>SD7a!G153+SD7b!G153++SD7e!G153</f>
        <v>7301</v>
      </c>
      <c r="H153" s="83">
        <f>SD7a!H153+SD7b!H153++SD7e!H153</f>
        <v>7301</v>
      </c>
      <c r="I153" s="24">
        <f>SD7a!I153+SD7b!I153++SD7e!I153</f>
        <v>0</v>
      </c>
      <c r="J153" s="23">
        <f>SD7a!J153+SD7b!J153++SD7e!J153</f>
        <v>0</v>
      </c>
      <c r="K153" s="83">
        <f>SD7a!K153+SD7b!K153++SD7e!K153</f>
        <v>0</v>
      </c>
    </row>
    <row r="154" spans="1:11" ht="5.0999999999999996" customHeight="1" x14ac:dyDescent="0.25">
      <c r="A154" s="21"/>
      <c r="B154" s="237"/>
      <c r="C154" s="23"/>
      <c r="D154" s="23"/>
      <c r="E154" s="240"/>
      <c r="F154" s="241"/>
      <c r="G154" s="23"/>
      <c r="H154" s="22"/>
      <c r="I154" s="241"/>
      <c r="J154" s="23"/>
      <c r="K154" s="240"/>
    </row>
    <row r="155" spans="1:11" ht="13.15" customHeight="1" x14ac:dyDescent="0.25">
      <c r="A155" s="19" t="s">
        <v>967</v>
      </c>
      <c r="B155" s="237"/>
      <c r="C155" s="348">
        <f t="shared" ref="C155:K155" si="25">SUM(C156:C156)</f>
        <v>31306</v>
      </c>
      <c r="D155" s="348">
        <f t="shared" si="25"/>
        <v>63753</v>
      </c>
      <c r="E155" s="384">
        <f t="shared" si="25"/>
        <v>40626</v>
      </c>
      <c r="F155" s="385">
        <f t="shared" si="25"/>
        <v>10000</v>
      </c>
      <c r="G155" s="348">
        <f t="shared" si="25"/>
        <v>10000</v>
      </c>
      <c r="H155" s="386">
        <f t="shared" si="25"/>
        <v>10000</v>
      </c>
      <c r="I155" s="385">
        <f t="shared" si="25"/>
        <v>0</v>
      </c>
      <c r="J155" s="348">
        <f t="shared" si="25"/>
        <v>0</v>
      </c>
      <c r="K155" s="384">
        <f t="shared" si="25"/>
        <v>0</v>
      </c>
    </row>
    <row r="156" spans="1:11" ht="13.15" customHeight="1" x14ac:dyDescent="0.25">
      <c r="A156" s="20" t="s">
        <v>967</v>
      </c>
      <c r="B156" s="237"/>
      <c r="C156" s="22">
        <f>SD7a!C156+SD7b!C156++SD7e!C156</f>
        <v>31306</v>
      </c>
      <c r="D156" s="23">
        <f>SD7a!D156+SD7b!D156++SD7e!D156</f>
        <v>63753</v>
      </c>
      <c r="E156" s="50">
        <f>SD7a!E156+SD7b!E156++SD7e!E156</f>
        <v>40626</v>
      </c>
      <c r="F156" s="24">
        <f>SD7a!F156+SD7b!F156++SD7e!F156</f>
        <v>10000</v>
      </c>
      <c r="G156" s="23">
        <f>SD7a!G156+SD7b!G156++SD7e!G156</f>
        <v>10000</v>
      </c>
      <c r="H156" s="83">
        <f>SD7a!H156+SD7b!H156++SD7e!H156</f>
        <v>10000</v>
      </c>
      <c r="I156" s="24">
        <f>SD7a!I156+SD7b!I156++SD7e!I156</f>
        <v>0</v>
      </c>
      <c r="J156" s="23">
        <f>SD7a!J156+SD7b!J156++SD7e!J156</f>
        <v>0</v>
      </c>
      <c r="K156" s="83">
        <f>SD7a!K156+SD7b!K156++SD7e!K156</f>
        <v>0</v>
      </c>
    </row>
    <row r="157" spans="1:11" ht="5.0999999999999996" customHeight="1" x14ac:dyDescent="0.25">
      <c r="A157" s="21"/>
      <c r="B157" s="237"/>
      <c r="C157" s="23"/>
      <c r="D157" s="23"/>
      <c r="E157" s="240"/>
      <c r="F157" s="241"/>
      <c r="G157" s="23"/>
      <c r="H157" s="22"/>
      <c r="I157" s="241"/>
      <c r="J157" s="23"/>
      <c r="K157" s="240"/>
    </row>
    <row r="158" spans="1:11" ht="13.15" customHeight="1" x14ac:dyDescent="0.25">
      <c r="A158" s="19" t="s">
        <v>968</v>
      </c>
      <c r="B158" s="237"/>
      <c r="C158" s="348">
        <f t="shared" ref="C158:K158" si="26">SUM(C159:C159)</f>
        <v>0</v>
      </c>
      <c r="D158" s="348">
        <f t="shared" si="26"/>
        <v>0</v>
      </c>
      <c r="E158" s="384">
        <f t="shared" si="26"/>
        <v>0</v>
      </c>
      <c r="F158" s="385">
        <f t="shared" si="26"/>
        <v>0</v>
      </c>
      <c r="G158" s="348">
        <f t="shared" si="26"/>
        <v>0</v>
      </c>
      <c r="H158" s="386">
        <f t="shared" si="26"/>
        <v>0</v>
      </c>
      <c r="I158" s="385">
        <f t="shared" si="26"/>
        <v>0</v>
      </c>
      <c r="J158" s="348">
        <f t="shared" si="26"/>
        <v>0</v>
      </c>
      <c r="K158" s="384">
        <f t="shared" si="26"/>
        <v>0</v>
      </c>
    </row>
    <row r="159" spans="1:11" ht="13.15" customHeight="1" x14ac:dyDescent="0.25">
      <c r="A159" s="20" t="s">
        <v>968</v>
      </c>
      <c r="B159" s="237"/>
      <c r="C159" s="22">
        <f>SD7a!C159+SD7b!C159++SD7e!C159</f>
        <v>0</v>
      </c>
      <c r="D159" s="23">
        <f>SD7a!D159+SD7b!D159++SD7e!D159</f>
        <v>0</v>
      </c>
      <c r="E159" s="50">
        <f>SD7a!E159+SD7b!E159++SD7e!E159</f>
        <v>0</v>
      </c>
      <c r="F159" s="24">
        <f>SD7a!F159+SD7b!F159++SD7e!F159</f>
        <v>0</v>
      </c>
      <c r="G159" s="23">
        <f>SD7a!G159+SD7b!G159++SD7e!G159</f>
        <v>0</v>
      </c>
      <c r="H159" s="83">
        <f>SD7a!H159+SD7b!H159++SD7e!H159</f>
        <v>0</v>
      </c>
      <c r="I159" s="24">
        <f>SD7a!I159+SD7b!I159++SD7e!I159</f>
        <v>0</v>
      </c>
      <c r="J159" s="23">
        <f>SD7a!J159+SD7b!J159++SD7e!J159</f>
        <v>0</v>
      </c>
      <c r="K159" s="83">
        <f>SD7a!K159+SD7b!K159++SD7e!K159</f>
        <v>0</v>
      </c>
    </row>
    <row r="160" spans="1:11" ht="5.0999999999999996" customHeight="1" x14ac:dyDescent="0.25">
      <c r="A160" s="21"/>
      <c r="B160" s="237"/>
      <c r="C160" s="23"/>
      <c r="D160" s="23"/>
      <c r="E160" s="240"/>
      <c r="F160" s="241"/>
      <c r="G160" s="23"/>
      <c r="H160" s="22"/>
      <c r="I160" s="241"/>
      <c r="J160" s="23"/>
      <c r="K160" s="240"/>
    </row>
    <row r="161" spans="1:23" ht="13.15" customHeight="1" x14ac:dyDescent="0.25">
      <c r="A161" s="19" t="s">
        <v>983</v>
      </c>
      <c r="B161" s="237"/>
      <c r="C161" s="348">
        <f t="shared" ref="C161:K161" si="27">SUM(C162:C162)</f>
        <v>0</v>
      </c>
      <c r="D161" s="348">
        <f t="shared" si="27"/>
        <v>0</v>
      </c>
      <c r="E161" s="384">
        <f t="shared" si="27"/>
        <v>0</v>
      </c>
      <c r="F161" s="385">
        <f t="shared" si="27"/>
        <v>0</v>
      </c>
      <c r="G161" s="348">
        <f t="shared" si="27"/>
        <v>0</v>
      </c>
      <c r="H161" s="386">
        <f t="shared" si="27"/>
        <v>0</v>
      </c>
      <c r="I161" s="385">
        <f t="shared" si="27"/>
        <v>0</v>
      </c>
      <c r="J161" s="348">
        <f t="shared" si="27"/>
        <v>0</v>
      </c>
      <c r="K161" s="384">
        <f t="shared" si="27"/>
        <v>0</v>
      </c>
    </row>
    <row r="162" spans="1:23" ht="13.15" customHeight="1" x14ac:dyDescent="0.25">
      <c r="A162" s="20" t="s">
        <v>983</v>
      </c>
      <c r="B162" s="237"/>
      <c r="C162" s="22">
        <f>SD7a!C162+SD7b!C162++SD7e!C162</f>
        <v>0</v>
      </c>
      <c r="D162" s="23">
        <f>SD7a!D162+SD7b!D162++SD7e!D162</f>
        <v>0</v>
      </c>
      <c r="E162" s="50">
        <f>SD7a!E162+SD7b!E162++SD7e!E162</f>
        <v>0</v>
      </c>
      <c r="F162" s="24">
        <f>SD7a!F162+SD7b!F162++SD7e!F162</f>
        <v>0</v>
      </c>
      <c r="G162" s="23">
        <f>SD7a!G162+SD7b!G162++SD7e!G162</f>
        <v>0</v>
      </c>
      <c r="H162" s="83">
        <f>SD7a!H162+SD7b!H162++SD7e!H162</f>
        <v>0</v>
      </c>
      <c r="I162" s="24">
        <f>SD7a!I162+SD7b!I162++SD7e!I162</f>
        <v>0</v>
      </c>
      <c r="J162" s="23">
        <f>SD7a!J162+SD7b!J162++SD7e!J162</f>
        <v>0</v>
      </c>
      <c r="K162" s="83">
        <f>SD7a!K162+SD7b!K162++SD7e!K162</f>
        <v>0</v>
      </c>
    </row>
    <row r="163" spans="1:23" ht="5.0999999999999996" customHeight="1" x14ac:dyDescent="0.25">
      <c r="A163" s="21"/>
      <c r="B163" s="237"/>
      <c r="C163" s="23"/>
      <c r="D163" s="23"/>
      <c r="E163" s="240"/>
      <c r="F163" s="241"/>
      <c r="G163" s="23"/>
      <c r="H163" s="22"/>
      <c r="I163" s="241"/>
      <c r="J163" s="23"/>
      <c r="K163" s="240"/>
    </row>
    <row r="164" spans="1:23" ht="13.15" customHeight="1" x14ac:dyDescent="0.25">
      <c r="A164" s="19" t="s">
        <v>969</v>
      </c>
      <c r="B164" s="237"/>
      <c r="C164" s="348">
        <f t="shared" ref="C164:K164" si="28">SUM(C165:C165)</f>
        <v>0</v>
      </c>
      <c r="D164" s="348">
        <f t="shared" si="28"/>
        <v>0</v>
      </c>
      <c r="E164" s="384">
        <f t="shared" si="28"/>
        <v>0</v>
      </c>
      <c r="F164" s="385">
        <f t="shared" si="28"/>
        <v>0</v>
      </c>
      <c r="G164" s="348">
        <f t="shared" si="28"/>
        <v>0</v>
      </c>
      <c r="H164" s="386">
        <f t="shared" si="28"/>
        <v>0</v>
      </c>
      <c r="I164" s="385">
        <f t="shared" si="28"/>
        <v>0</v>
      </c>
      <c r="J164" s="348">
        <f t="shared" si="28"/>
        <v>0</v>
      </c>
      <c r="K164" s="384">
        <f t="shared" si="28"/>
        <v>0</v>
      </c>
    </row>
    <row r="165" spans="1:23" ht="13.15" customHeight="1" x14ac:dyDescent="0.25">
      <c r="A165" s="20" t="s">
        <v>969</v>
      </c>
      <c r="B165" s="237"/>
      <c r="C165" s="22">
        <f>SD7a!C165+SD7b!C165++SD7e!C165</f>
        <v>0</v>
      </c>
      <c r="D165" s="23">
        <f>SD7a!D165+SD7b!D165++SD7e!D165</f>
        <v>0</v>
      </c>
      <c r="E165" s="50">
        <f>SD7a!E165+SD7b!E165++SD7e!E165</f>
        <v>0</v>
      </c>
      <c r="F165" s="24">
        <f>SD7a!F165+SD7b!F165++SD7e!F165</f>
        <v>0</v>
      </c>
      <c r="G165" s="23">
        <f>SD7a!G165+SD7b!G165++SD7e!G165</f>
        <v>0</v>
      </c>
      <c r="H165" s="83">
        <f>SD7a!H165+SD7b!H165++SD7e!H165</f>
        <v>0</v>
      </c>
      <c r="I165" s="24">
        <f>SD7a!I165+SD7b!I165++SD7e!I165</f>
        <v>0</v>
      </c>
      <c r="J165" s="23">
        <f>SD7a!J165+SD7b!J165++SD7e!J165</f>
        <v>0</v>
      </c>
      <c r="K165" s="83">
        <f>SD7a!K165+SD7b!K165++SD7e!K165</f>
        <v>0</v>
      </c>
    </row>
    <row r="166" spans="1:23" ht="5.0999999999999996" customHeight="1" x14ac:dyDescent="0.25">
      <c r="A166" s="21"/>
      <c r="B166" s="237"/>
      <c r="C166" s="23"/>
      <c r="D166" s="23"/>
      <c r="E166" s="240"/>
      <c r="F166" s="241"/>
      <c r="G166" s="23"/>
      <c r="H166" s="22"/>
      <c r="I166" s="241"/>
      <c r="J166" s="23"/>
      <c r="K166" s="240"/>
    </row>
    <row r="167" spans="1:23" ht="12.75" customHeight="1" x14ac:dyDescent="0.25">
      <c r="A167" s="28" t="s">
        <v>834</v>
      </c>
      <c r="B167" s="346">
        <v>1</v>
      </c>
      <c r="C167" s="30">
        <f>C6+C74+C103+C110+C118+C136+C139+C149+C152+C155+C158+C161+C164</f>
        <v>4739919</v>
      </c>
      <c r="D167" s="29">
        <f t="shared" ref="D167:K167" si="29">D6+D74+D103+D110+D118+D136+D139+D149+D152+D155+D158+D161+D164</f>
        <v>5072747</v>
      </c>
      <c r="E167" s="108">
        <f t="shared" si="29"/>
        <v>4369154</v>
      </c>
      <c r="F167" s="30">
        <f t="shared" si="29"/>
        <v>497301</v>
      </c>
      <c r="G167" s="29">
        <f t="shared" si="29"/>
        <v>497301</v>
      </c>
      <c r="H167" s="108">
        <f t="shared" si="29"/>
        <v>497301</v>
      </c>
      <c r="I167" s="30">
        <f t="shared" si="29"/>
        <v>0</v>
      </c>
      <c r="J167" s="29">
        <f t="shared" si="29"/>
        <v>0</v>
      </c>
      <c r="K167" s="108">
        <f t="shared" si="29"/>
        <v>0</v>
      </c>
      <c r="M167" s="35"/>
      <c r="N167" s="35"/>
      <c r="O167" s="35"/>
      <c r="P167" s="35"/>
      <c r="Q167" s="35"/>
      <c r="R167" s="35"/>
      <c r="S167" s="35"/>
      <c r="T167" s="35"/>
      <c r="U167" s="35"/>
      <c r="V167" s="35"/>
      <c r="W167" s="35"/>
    </row>
    <row r="168" spans="1:23" ht="12.75" customHeight="1" x14ac:dyDescent="0.25">
      <c r="A168" s="34"/>
      <c r="B168" s="347"/>
      <c r="C168" s="25"/>
      <c r="D168" s="25"/>
      <c r="E168" s="25"/>
      <c r="F168" s="25"/>
      <c r="G168" s="25"/>
      <c r="H168" s="25"/>
      <c r="I168" s="25"/>
      <c r="J168" s="25"/>
      <c r="K168" s="25"/>
      <c r="M168" s="35"/>
      <c r="N168" s="35"/>
      <c r="O168" s="35"/>
      <c r="P168" s="35"/>
      <c r="Q168" s="35"/>
      <c r="R168" s="35"/>
      <c r="S168" s="35"/>
      <c r="T168" s="35"/>
      <c r="U168" s="35"/>
      <c r="V168" s="35"/>
      <c r="W168" s="35"/>
    </row>
    <row r="169" spans="1:23" ht="12.75" customHeight="1" x14ac:dyDescent="0.25">
      <c r="A169" s="211" t="s">
        <v>33</v>
      </c>
      <c r="B169" s="383"/>
      <c r="C169" s="53"/>
      <c r="D169" s="52"/>
      <c r="E169" s="82"/>
      <c r="F169" s="53"/>
      <c r="G169" s="52"/>
      <c r="H169" s="82"/>
      <c r="I169" s="53"/>
      <c r="J169" s="52"/>
      <c r="K169" s="82"/>
    </row>
    <row r="170" spans="1:23" ht="12.75" customHeight="1" x14ac:dyDescent="0.25">
      <c r="A170" s="234" t="s">
        <v>17</v>
      </c>
      <c r="B170" s="90"/>
      <c r="C170" s="357"/>
      <c r="D170" s="354"/>
      <c r="E170" s="359"/>
      <c r="F170" s="360"/>
      <c r="G170" s="354"/>
      <c r="H170" s="361"/>
      <c r="I170" s="360"/>
      <c r="J170" s="354"/>
      <c r="K170" s="361"/>
    </row>
    <row r="171" spans="1:23" ht="12.75" customHeight="1" x14ac:dyDescent="0.25">
      <c r="A171" s="234" t="s">
        <v>128</v>
      </c>
      <c r="B171" s="90"/>
      <c r="C171" s="357"/>
      <c r="D171" s="354"/>
      <c r="E171" s="359"/>
      <c r="F171" s="360"/>
      <c r="G171" s="354"/>
      <c r="H171" s="361"/>
      <c r="I171" s="360"/>
      <c r="J171" s="354"/>
      <c r="K171" s="361"/>
    </row>
    <row r="172" spans="1:23" ht="12.75" customHeight="1" x14ac:dyDescent="0.25">
      <c r="A172" s="234" t="s">
        <v>281</v>
      </c>
      <c r="B172" s="90"/>
      <c r="C172" s="354">
        <v>667861</v>
      </c>
      <c r="D172" s="354">
        <v>1511000</v>
      </c>
      <c r="E172" s="359">
        <v>441000</v>
      </c>
      <c r="F172" s="166">
        <v>497301</v>
      </c>
      <c r="G172" s="166">
        <v>497301</v>
      </c>
      <c r="H172" s="167">
        <f>G172</f>
        <v>497301</v>
      </c>
      <c r="I172" s="166"/>
      <c r="J172" s="166"/>
      <c r="K172" s="167"/>
    </row>
    <row r="173" spans="1:23" ht="12.75" customHeight="1" x14ac:dyDescent="0.25">
      <c r="A173" s="234" t="s">
        <v>129</v>
      </c>
      <c r="B173" s="90"/>
      <c r="C173" s="357"/>
      <c r="D173" s="354"/>
      <c r="E173" s="359"/>
      <c r="F173" s="360"/>
      <c r="G173" s="354"/>
      <c r="H173" s="361"/>
      <c r="I173" s="360"/>
      <c r="J173" s="354"/>
      <c r="K173" s="361"/>
    </row>
    <row r="174" spans="1:23" ht="12.75" customHeight="1" x14ac:dyDescent="0.25">
      <c r="A174" s="214" t="s">
        <v>394</v>
      </c>
      <c r="B174" s="235"/>
      <c r="C174" s="153">
        <f>SUM(C170:C173)</f>
        <v>667861</v>
      </c>
      <c r="D174" s="154">
        <f t="shared" ref="D174:K174" si="30">SUM(D170:D173)</f>
        <v>1511000</v>
      </c>
      <c r="E174" s="155">
        <f t="shared" si="30"/>
        <v>441000</v>
      </c>
      <c r="F174" s="153">
        <f t="shared" si="30"/>
        <v>497301</v>
      </c>
      <c r="G174" s="154">
        <f t="shared" si="30"/>
        <v>497301</v>
      </c>
      <c r="H174" s="155">
        <f t="shared" si="30"/>
        <v>497301</v>
      </c>
      <c r="I174" s="153">
        <f t="shared" si="30"/>
        <v>0</v>
      </c>
      <c r="J174" s="154">
        <f t="shared" si="30"/>
        <v>0</v>
      </c>
      <c r="K174" s="155">
        <f t="shared" si="30"/>
        <v>0</v>
      </c>
      <c r="L174" s="35"/>
      <c r="M174" s="35"/>
      <c r="N174" s="35"/>
      <c r="O174" s="35"/>
      <c r="P174" s="35"/>
      <c r="Q174" s="35"/>
      <c r="R174" s="35"/>
      <c r="S174" s="35"/>
      <c r="T174" s="35"/>
      <c r="U174" s="35"/>
      <c r="V174" s="35"/>
      <c r="W174" s="35"/>
    </row>
    <row r="175" spans="1:23" ht="0.95" customHeight="1" x14ac:dyDescent="0.25">
      <c r="A175" s="214"/>
      <c r="B175" s="90"/>
      <c r="C175" s="22"/>
      <c r="D175" s="23"/>
      <c r="E175" s="50"/>
      <c r="F175" s="24"/>
      <c r="G175" s="23"/>
      <c r="H175" s="83"/>
      <c r="I175" s="24"/>
      <c r="J175" s="23"/>
      <c r="K175" s="83"/>
    </row>
    <row r="176" spans="1:23" ht="12.75" customHeight="1" x14ac:dyDescent="0.25">
      <c r="A176" s="214" t="s">
        <v>272</v>
      </c>
      <c r="B176" s="90">
        <v>3</v>
      </c>
      <c r="C176" s="357"/>
      <c r="D176" s="354"/>
      <c r="E176" s="359"/>
      <c r="F176" s="360"/>
      <c r="G176" s="354"/>
      <c r="H176" s="361"/>
      <c r="I176" s="360"/>
      <c r="J176" s="354"/>
      <c r="K176" s="361"/>
    </row>
    <row r="177" spans="1:12" ht="12.75" customHeight="1" x14ac:dyDescent="0.25">
      <c r="A177" s="214" t="s">
        <v>34</v>
      </c>
      <c r="B177" s="90"/>
      <c r="C177" s="357"/>
      <c r="D177" s="354"/>
      <c r="E177" s="359"/>
      <c r="F177" s="360"/>
      <c r="G177" s="354"/>
      <c r="H177" s="361"/>
      <c r="I177" s="360"/>
      <c r="J177" s="354"/>
      <c r="K177" s="361"/>
    </row>
    <row r="178" spans="1:12" ht="12.75" customHeight="1" x14ac:dyDescent="0.25">
      <c r="A178" s="28" t="s">
        <v>338</v>
      </c>
      <c r="B178" s="109">
        <v>4</v>
      </c>
      <c r="C178" s="30">
        <f>+C174+C176+C177</f>
        <v>667861</v>
      </c>
      <c r="D178" s="29">
        <f t="shared" ref="D178:K178" si="31">+D174+D176+D177</f>
        <v>1511000</v>
      </c>
      <c r="E178" s="108">
        <f t="shared" si="31"/>
        <v>441000</v>
      </c>
      <c r="F178" s="30">
        <f t="shared" si="31"/>
        <v>497301</v>
      </c>
      <c r="G178" s="29">
        <f t="shared" si="31"/>
        <v>497301</v>
      </c>
      <c r="H178" s="108">
        <f t="shared" si="31"/>
        <v>497301</v>
      </c>
      <c r="I178" s="30">
        <f t="shared" si="31"/>
        <v>0</v>
      </c>
      <c r="J178" s="29">
        <f t="shared" si="31"/>
        <v>0</v>
      </c>
      <c r="K178" s="108">
        <f t="shared" si="31"/>
        <v>0</v>
      </c>
    </row>
    <row r="179" spans="1:12" ht="12.75" customHeight="1" x14ac:dyDescent="0.25">
      <c r="A179" s="31" t="s">
        <v>165</v>
      </c>
      <c r="C179" s="35"/>
      <c r="D179" s="35"/>
      <c r="E179" s="35"/>
      <c r="F179" s="35"/>
      <c r="G179" s="35"/>
      <c r="H179" s="35"/>
      <c r="I179" s="35"/>
      <c r="J179" s="35"/>
      <c r="K179" s="35"/>
    </row>
    <row r="180" spans="1:12" ht="12.75" customHeight="1" x14ac:dyDescent="0.25">
      <c r="A180" s="41" t="s">
        <v>535</v>
      </c>
      <c r="C180" s="34"/>
      <c r="D180" s="34"/>
      <c r="E180" s="35"/>
      <c r="F180" s="35"/>
      <c r="G180" s="35"/>
      <c r="H180" s="35"/>
      <c r="I180" s="35"/>
      <c r="J180" s="35"/>
      <c r="K180" s="35"/>
    </row>
    <row r="181" spans="1:12" ht="12.75" customHeight="1" x14ac:dyDescent="0.25">
      <c r="A181" s="522" t="s">
        <v>536</v>
      </c>
      <c r="B181" s="522"/>
      <c r="C181" s="522"/>
      <c r="D181" s="522"/>
      <c r="E181" s="522"/>
      <c r="F181" s="522"/>
      <c r="G181" s="522"/>
      <c r="H181" s="522"/>
      <c r="I181" s="522"/>
      <c r="J181" s="522"/>
      <c r="K181" s="522"/>
      <c r="L181" s="522"/>
    </row>
    <row r="182" spans="1:12" ht="12.75" customHeight="1" x14ac:dyDescent="0.25">
      <c r="A182" s="41" t="s">
        <v>537</v>
      </c>
      <c r="B182" s="95"/>
      <c r="C182" s="95"/>
      <c r="D182" s="95"/>
      <c r="E182" s="95"/>
      <c r="F182" s="95"/>
      <c r="G182" s="95"/>
      <c r="H182" s="95"/>
      <c r="I182" s="95"/>
      <c r="J182" s="95"/>
      <c r="K182" s="95"/>
    </row>
    <row r="183" spans="1:12" ht="12.75" customHeight="1" x14ac:dyDescent="0.25">
      <c r="A183" s="41" t="s">
        <v>538</v>
      </c>
      <c r="B183" s="95"/>
      <c r="C183" s="95"/>
      <c r="D183" s="95"/>
      <c r="E183" s="95"/>
      <c r="F183" s="95"/>
      <c r="G183" s="95"/>
      <c r="H183" s="95"/>
      <c r="I183" s="95"/>
      <c r="J183" s="95"/>
      <c r="K183" s="95"/>
    </row>
    <row r="184" spans="1:12" ht="12.75" customHeight="1" x14ac:dyDescent="0.25">
      <c r="A184" s="41"/>
      <c r="C184" s="34"/>
      <c r="D184" s="34"/>
      <c r="E184" s="35"/>
      <c r="F184" s="35"/>
      <c r="G184" s="35"/>
      <c r="H184" s="35"/>
      <c r="I184" s="35"/>
      <c r="J184" s="35"/>
      <c r="K184" s="35"/>
    </row>
    <row r="185" spans="1:12" ht="12.75" customHeight="1" x14ac:dyDescent="0.25">
      <c r="C185" s="34"/>
      <c r="D185" s="34"/>
      <c r="E185" s="35"/>
      <c r="F185" s="35"/>
      <c r="G185" s="35"/>
      <c r="H185" s="35"/>
      <c r="I185" s="35"/>
      <c r="J185" s="35"/>
      <c r="K185" s="35"/>
    </row>
    <row r="186" spans="1:12" ht="12.75" customHeight="1" x14ac:dyDescent="0.25">
      <c r="A186" s="41"/>
      <c r="C186" s="34"/>
      <c r="D186" s="34"/>
      <c r="E186" s="35"/>
      <c r="F186" s="35"/>
      <c r="G186" s="35"/>
      <c r="H186" s="35"/>
      <c r="I186" s="35"/>
      <c r="J186" s="35"/>
      <c r="K186" s="35"/>
    </row>
    <row r="187" spans="1:12" ht="11.25" customHeight="1" x14ac:dyDescent="0.25">
      <c r="A187" s="37" t="s">
        <v>127</v>
      </c>
      <c r="B187" s="36"/>
      <c r="C187" s="43">
        <f>C167-(SD7a!C167+SD7b!C167++SD7e!C167)</f>
        <v>0</v>
      </c>
      <c r="D187" s="43">
        <f>D167-(SD7a!D167+SD7b!D167++SD7e!D167)</f>
        <v>0</v>
      </c>
      <c r="E187" s="43">
        <f>E167-(SD7a!E167+SD7b!E167++SD7e!E167)</f>
        <v>0</v>
      </c>
      <c r="F187" s="43">
        <f>F167-(SD7a!F167+SD7b!F167++SD7e!F167)</f>
        <v>0</v>
      </c>
      <c r="G187" s="43">
        <f>G167-(SD7a!G167+SD7b!G167++SD7e!G167)</f>
        <v>0</v>
      </c>
      <c r="H187" s="43">
        <f>H167-(SD7a!H167+SD7b!H167++SD7e!H167)</f>
        <v>0</v>
      </c>
      <c r="I187" s="43">
        <f>I167-(SD7a!I167+SD7b!I167++SD7e!I167)</f>
        <v>0</v>
      </c>
      <c r="J187" s="43">
        <f>J167-(SD7a!J167+SD7b!J167++SD7e!J167)</f>
        <v>0</v>
      </c>
      <c r="K187" s="43">
        <f>K167-(SD7a!K167+SD7b!K167++SD7e!K167)</f>
        <v>0</v>
      </c>
    </row>
    <row r="188" spans="1:12" ht="11.25" customHeight="1" x14ac:dyDescent="0.25"/>
    <row r="189" spans="1:12" ht="11.25" customHeight="1" x14ac:dyDescent="0.25"/>
    <row r="190" spans="1:12" ht="11.25" customHeight="1" x14ac:dyDescent="0.25"/>
    <row r="191" spans="1:12" ht="11.25" customHeight="1" x14ac:dyDescent="0.25"/>
    <row r="192" spans="1:1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row r="218" ht="11.25" customHeight="1" x14ac:dyDescent="0.25"/>
    <row r="219" ht="11.25" customHeight="1" x14ac:dyDescent="0.25"/>
    <row r="220" ht="11.25" customHeight="1" x14ac:dyDescent="0.25"/>
    <row r="221" ht="11.25" customHeight="1" x14ac:dyDescent="0.25"/>
    <row r="222" ht="11.25" customHeight="1" x14ac:dyDescent="0.25"/>
  </sheetData>
  <sheetProtection password="A35B" sheet="1" objects="1" scenarios="1"/>
  <mergeCells count="2">
    <mergeCell ref="F2:H2"/>
    <mergeCell ref="A181:L181"/>
  </mergeCells>
  <phoneticPr fontId="2" type="noConversion"/>
  <printOptions horizontalCentered="1"/>
  <pageMargins left="0.35433070866141736" right="0.15748031496062992" top="0.78740157480314965" bottom="0.59055118110236227" header="0.51181102362204722" footer="0.39370078740157483"/>
  <pageSetup paperSize="9" scale="7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8">
    <tabColor indexed="44"/>
    <pageSetUpPr fitToPage="1"/>
  </sheetPr>
  <dimension ref="A1:W88"/>
  <sheetViews>
    <sheetView showGridLines="0" zoomScaleNormal="100" workbookViewId="0">
      <pane xSplit="2" ySplit="3" topLeftCell="C4" activePane="bottomRight" state="frozen"/>
      <selection activeCell="A23" sqref="A23"/>
      <selection pane="topRight" activeCell="A23" sqref="A23"/>
      <selection pane="bottomLeft" activeCell="A23" sqref="A23"/>
      <selection pane="bottomRight" activeCell="I23" sqref="I23"/>
    </sheetView>
  </sheetViews>
  <sheetFormatPr defaultColWidth="9.140625" defaultRowHeight="12.75" x14ac:dyDescent="0.25"/>
  <cols>
    <col min="1" max="1" width="30.7109375" style="17" customWidth="1"/>
    <col min="2" max="2" width="3.140625" style="32" customWidth="1"/>
    <col min="3" max="11" width="8.7109375" style="17" customWidth="1"/>
    <col min="12" max="12" width="10.42578125" style="17" bestFit="1" customWidth="1"/>
    <col min="13" max="13" width="9.5703125" style="17" customWidth="1"/>
    <col min="14" max="14" width="9.85546875" style="17" customWidth="1"/>
    <col min="15" max="17" width="9.5703125" style="17" customWidth="1"/>
    <col min="18" max="18" width="9.85546875" style="17" customWidth="1"/>
    <col min="19" max="21" width="9.5703125" style="17" customWidth="1"/>
    <col min="22" max="23" width="9.85546875" style="17" customWidth="1"/>
    <col min="24" max="16384" width="9.140625" style="17"/>
  </cols>
  <sheetData>
    <row r="1" spans="1:23" ht="13.5" x14ac:dyDescent="0.25">
      <c r="A1" s="88" t="str">
        <f>_MEB3</f>
        <v>Harry Gwala Development Agency (Pty) Ltd - Table D4 Budgeted Financial Position</v>
      </c>
    </row>
    <row r="2" spans="1:23" ht="27" customHeight="1" x14ac:dyDescent="0.25">
      <c r="A2" s="301" t="str">
        <f>desc</f>
        <v>Description</v>
      </c>
      <c r="B2" s="303" t="str">
        <f>head27</f>
        <v>Ref</v>
      </c>
      <c r="C2" s="85" t="str">
        <f>head1b</f>
        <v>2015/16</v>
      </c>
      <c r="D2" s="18" t="str">
        <f>head1A</f>
        <v>2016/17</v>
      </c>
      <c r="E2" s="80" t="str">
        <f>Head1</f>
        <v>2017/18</v>
      </c>
      <c r="F2" s="519" t="str">
        <f>Head2</f>
        <v>Current Year 2018/19</v>
      </c>
      <c r="G2" s="523"/>
      <c r="H2" s="524"/>
      <c r="I2" s="106" t="str">
        <f>Head3a</f>
        <v>Medium Term Revenue and Expenditure Framework</v>
      </c>
      <c r="J2" s="104"/>
      <c r="K2" s="105"/>
    </row>
    <row r="3" spans="1:23" ht="27" customHeight="1" x14ac:dyDescent="0.25">
      <c r="A3" s="306" t="s">
        <v>186</v>
      </c>
      <c r="B3" s="304"/>
      <c r="C3" s="101" t="str">
        <f>Head5</f>
        <v>Audited Outcome</v>
      </c>
      <c r="D3" s="79" t="str">
        <f>Head5</f>
        <v>Audited Outcome</v>
      </c>
      <c r="E3" s="300" t="str">
        <f>Head5</f>
        <v>Audited Outcome</v>
      </c>
      <c r="F3" s="299" t="str">
        <f>Head6</f>
        <v>Original Budget</v>
      </c>
      <c r="G3" s="102" t="str">
        <f>Head7</f>
        <v>Adjusted Budget</v>
      </c>
      <c r="H3" s="300" t="str">
        <f>Head8</f>
        <v>Full Year Forecast</v>
      </c>
      <c r="I3" s="299" t="str">
        <f>Head9</f>
        <v>Budget Year 2019/20</v>
      </c>
      <c r="J3" s="102" t="str">
        <f>Head10</f>
        <v>Budget Year +1 2020/21</v>
      </c>
      <c r="K3" s="300" t="str">
        <f>Head11</f>
        <v>Budget Year +2 2021/22</v>
      </c>
    </row>
    <row r="4" spans="1:23" ht="12.75" customHeight="1" x14ac:dyDescent="0.25">
      <c r="A4" s="45" t="s">
        <v>80</v>
      </c>
      <c r="B4" s="90"/>
      <c r="C4" s="24"/>
      <c r="D4" s="23"/>
      <c r="E4" s="83"/>
      <c r="F4" s="24"/>
      <c r="G4" s="23"/>
      <c r="H4" s="83"/>
      <c r="I4" s="24"/>
      <c r="J4" s="23"/>
      <c r="K4" s="83"/>
    </row>
    <row r="5" spans="1:23" ht="12.75" customHeight="1" x14ac:dyDescent="0.25">
      <c r="A5" s="45" t="s">
        <v>81</v>
      </c>
      <c r="B5" s="90"/>
      <c r="C5" s="24"/>
      <c r="D5" s="23"/>
      <c r="E5" s="83"/>
      <c r="F5" s="24"/>
      <c r="G5" s="23"/>
      <c r="H5" s="83"/>
      <c r="I5" s="24"/>
      <c r="J5" s="23"/>
      <c r="K5" s="83"/>
    </row>
    <row r="6" spans="1:23" ht="12.75" customHeight="1" x14ac:dyDescent="0.25">
      <c r="A6" s="20" t="s">
        <v>276</v>
      </c>
      <c r="B6" s="90"/>
      <c r="C6" s="168">
        <v>3041298</v>
      </c>
      <c r="D6" s="166">
        <f>2002+6529193</f>
        <v>6531195</v>
      </c>
      <c r="E6" s="167">
        <v>4105179</v>
      </c>
      <c r="F6" s="168">
        <v>14000</v>
      </c>
      <c r="G6" s="166">
        <v>14000</v>
      </c>
      <c r="H6" s="167">
        <f>G6</f>
        <v>14000</v>
      </c>
      <c r="I6" s="168">
        <v>12000</v>
      </c>
      <c r="J6" s="166">
        <f>I6*1.05</f>
        <v>12600</v>
      </c>
      <c r="K6" s="167">
        <f>J6*1.05</f>
        <v>13230</v>
      </c>
    </row>
    <row r="7" spans="1:23" ht="12.75" customHeight="1" x14ac:dyDescent="0.25">
      <c r="A7" s="20" t="s">
        <v>126</v>
      </c>
      <c r="B7" s="90"/>
      <c r="C7" s="168">
        <v>10629427</v>
      </c>
      <c r="D7" s="166">
        <v>12219273</v>
      </c>
      <c r="E7" s="167">
        <v>11268460</v>
      </c>
      <c r="F7" s="239">
        <v>0</v>
      </c>
      <c r="G7" s="166">
        <v>0</v>
      </c>
      <c r="H7" s="167"/>
      <c r="I7" s="168"/>
      <c r="J7" s="166"/>
      <c r="K7" s="167"/>
    </row>
    <row r="8" spans="1:23" ht="12.75" customHeight="1" x14ac:dyDescent="0.25">
      <c r="A8" s="20" t="s">
        <v>124</v>
      </c>
      <c r="B8" s="90"/>
      <c r="C8" s="168"/>
      <c r="D8" s="166"/>
      <c r="E8" s="167"/>
      <c r="F8" s="239"/>
      <c r="G8" s="166"/>
      <c r="H8" s="167"/>
      <c r="I8" s="168"/>
      <c r="J8" s="166"/>
      <c r="K8" s="167"/>
    </row>
    <row r="9" spans="1:23" ht="12.75" customHeight="1" x14ac:dyDescent="0.25">
      <c r="A9" s="20" t="s">
        <v>125</v>
      </c>
      <c r="B9" s="90"/>
      <c r="C9" s="168">
        <v>2782238</v>
      </c>
      <c r="D9" s="166">
        <f>6929+586923+45706</f>
        <v>639558</v>
      </c>
      <c r="E9" s="167">
        <v>649669</v>
      </c>
      <c r="F9" s="239">
        <v>0</v>
      </c>
      <c r="G9" s="166">
        <v>0</v>
      </c>
      <c r="H9" s="167"/>
      <c r="I9" s="168"/>
      <c r="J9" s="166"/>
      <c r="K9" s="167"/>
    </row>
    <row r="10" spans="1:23" ht="12.75" customHeight="1" x14ac:dyDescent="0.25">
      <c r="A10" s="20" t="s">
        <v>277</v>
      </c>
      <c r="B10" s="90"/>
      <c r="C10" s="168"/>
      <c r="D10" s="166"/>
      <c r="E10" s="167"/>
      <c r="F10" s="168"/>
      <c r="G10" s="166"/>
      <c r="H10" s="167"/>
      <c r="I10" s="168"/>
      <c r="J10" s="166"/>
      <c r="K10" s="167"/>
    </row>
    <row r="11" spans="1:23" ht="12.75" customHeight="1" x14ac:dyDescent="0.25">
      <c r="A11" s="20" t="s">
        <v>123</v>
      </c>
      <c r="B11" s="90"/>
      <c r="C11" s="168"/>
      <c r="D11" s="166"/>
      <c r="E11" s="167"/>
      <c r="F11" s="168"/>
      <c r="G11" s="166"/>
      <c r="H11" s="167"/>
      <c r="I11" s="168"/>
      <c r="J11" s="166"/>
      <c r="K11" s="167"/>
    </row>
    <row r="12" spans="1:23" ht="12.75" customHeight="1" x14ac:dyDescent="0.25">
      <c r="A12" s="47" t="s">
        <v>153</v>
      </c>
      <c r="B12" s="107"/>
      <c r="C12" s="39">
        <f>SUM(C6:C11)</f>
        <v>16452963</v>
      </c>
      <c r="D12" s="38">
        <f>SUM(D6:D11)</f>
        <v>19390026</v>
      </c>
      <c r="E12" s="84">
        <f>SUM(E6:E11)</f>
        <v>16023308</v>
      </c>
      <c r="F12" s="39">
        <f t="shared" ref="F12:K12" si="0">SUM(F6:F11)</f>
        <v>14000</v>
      </c>
      <c r="G12" s="38">
        <f t="shared" si="0"/>
        <v>14000</v>
      </c>
      <c r="H12" s="84">
        <f t="shared" si="0"/>
        <v>14000</v>
      </c>
      <c r="I12" s="39">
        <f t="shared" si="0"/>
        <v>12000</v>
      </c>
      <c r="J12" s="38">
        <f t="shared" si="0"/>
        <v>12600</v>
      </c>
      <c r="K12" s="84">
        <f t="shared" si="0"/>
        <v>13230</v>
      </c>
      <c r="L12" s="35"/>
      <c r="M12" s="35"/>
      <c r="N12" s="35"/>
      <c r="O12" s="35"/>
      <c r="P12" s="35"/>
      <c r="Q12" s="35"/>
      <c r="R12" s="35"/>
      <c r="S12" s="35"/>
      <c r="T12" s="35"/>
      <c r="U12" s="35"/>
      <c r="V12" s="35"/>
      <c r="W12" s="35"/>
    </row>
    <row r="13" spans="1:23" ht="5.0999999999999996" customHeight="1" x14ac:dyDescent="0.25">
      <c r="A13" s="21"/>
      <c r="B13" s="90"/>
      <c r="C13" s="24"/>
      <c r="D13" s="23"/>
      <c r="E13" s="83"/>
      <c r="F13" s="24"/>
      <c r="G13" s="23"/>
      <c r="H13" s="83"/>
      <c r="I13" s="24"/>
      <c r="J13" s="23"/>
      <c r="K13" s="83"/>
    </row>
    <row r="14" spans="1:23" ht="13.5" customHeight="1" x14ac:dyDescent="0.25">
      <c r="A14" s="45" t="s">
        <v>21</v>
      </c>
      <c r="B14" s="90"/>
      <c r="C14" s="24"/>
      <c r="D14" s="23"/>
      <c r="E14" s="83"/>
      <c r="F14" s="24"/>
      <c r="G14" s="23"/>
      <c r="H14" s="83"/>
      <c r="I14" s="24"/>
      <c r="J14" s="23"/>
      <c r="K14" s="83"/>
    </row>
    <row r="15" spans="1:23" ht="12.75" customHeight="1" x14ac:dyDescent="0.25">
      <c r="A15" s="20" t="s">
        <v>122</v>
      </c>
      <c r="B15" s="90">
        <v>3</v>
      </c>
      <c r="C15" s="168"/>
      <c r="D15" s="166"/>
      <c r="E15" s="167"/>
      <c r="F15" s="168"/>
      <c r="G15" s="166"/>
      <c r="H15" s="167"/>
      <c r="I15" s="168"/>
      <c r="J15" s="166"/>
      <c r="K15" s="167"/>
    </row>
    <row r="16" spans="1:23" ht="12.75" customHeight="1" x14ac:dyDescent="0.25">
      <c r="A16" s="20" t="s">
        <v>82</v>
      </c>
      <c r="B16" s="90"/>
      <c r="C16" s="168"/>
      <c r="D16" s="166"/>
      <c r="E16" s="167"/>
      <c r="F16" s="168"/>
      <c r="G16" s="166"/>
      <c r="H16" s="167"/>
      <c r="I16" s="168"/>
      <c r="J16" s="166"/>
      <c r="K16" s="167"/>
    </row>
    <row r="17" spans="1:23" ht="12.75" customHeight="1" x14ac:dyDescent="0.25">
      <c r="A17" s="20" t="s">
        <v>121</v>
      </c>
      <c r="B17" s="90"/>
      <c r="C17" s="168"/>
      <c r="D17" s="166"/>
      <c r="E17" s="167"/>
      <c r="F17" s="168"/>
      <c r="G17" s="166"/>
      <c r="H17" s="167"/>
      <c r="I17" s="168"/>
      <c r="J17" s="166"/>
      <c r="K17" s="167"/>
    </row>
    <row r="18" spans="1:23" ht="12.75" customHeight="1" x14ac:dyDescent="0.25">
      <c r="A18" s="20" t="s">
        <v>831</v>
      </c>
      <c r="B18" s="90"/>
      <c r="C18" s="168"/>
      <c r="D18" s="166"/>
      <c r="E18" s="167"/>
      <c r="F18" s="168"/>
      <c r="G18" s="166"/>
      <c r="H18" s="167"/>
      <c r="I18" s="168"/>
      <c r="J18" s="166"/>
      <c r="K18" s="167"/>
    </row>
    <row r="19" spans="1:23" ht="12.75" customHeight="1" x14ac:dyDescent="0.25">
      <c r="A19" s="20" t="s">
        <v>120</v>
      </c>
      <c r="B19" s="90">
        <v>1</v>
      </c>
      <c r="C19" s="168">
        <v>4261539</v>
      </c>
      <c r="D19" s="166">
        <v>4391452</v>
      </c>
      <c r="E19" s="167">
        <v>4004159</v>
      </c>
      <c r="F19" s="168">
        <v>97301</v>
      </c>
      <c r="G19" s="166">
        <v>97301</v>
      </c>
      <c r="H19" s="167">
        <f>G19</f>
        <v>97301</v>
      </c>
      <c r="I19" s="168">
        <v>125000</v>
      </c>
      <c r="J19" s="166">
        <f>I19*1.05</f>
        <v>131250</v>
      </c>
      <c r="K19" s="167">
        <f>J19*1.05</f>
        <v>137812.5</v>
      </c>
    </row>
    <row r="20" spans="1:23" ht="0.95" customHeight="1" x14ac:dyDescent="0.25">
      <c r="A20" s="20"/>
      <c r="B20" s="90"/>
      <c r="C20" s="24"/>
      <c r="D20" s="23"/>
      <c r="E20" s="83"/>
      <c r="F20" s="24"/>
      <c r="G20" s="23"/>
      <c r="H20" s="83"/>
      <c r="I20" s="24"/>
      <c r="J20" s="23"/>
      <c r="K20" s="83"/>
    </row>
    <row r="21" spans="1:23" ht="12.75" customHeight="1" x14ac:dyDescent="0.25">
      <c r="A21" s="20" t="s">
        <v>832</v>
      </c>
      <c r="B21" s="90"/>
      <c r="C21" s="168"/>
      <c r="D21" s="166"/>
      <c r="E21" s="167"/>
      <c r="F21" s="168"/>
      <c r="G21" s="166"/>
      <c r="H21" s="167"/>
      <c r="I21" s="168"/>
      <c r="J21" s="166"/>
      <c r="K21" s="167"/>
    </row>
    <row r="22" spans="1:23" ht="12.75" customHeight="1" x14ac:dyDescent="0.25">
      <c r="A22" s="20" t="s">
        <v>833</v>
      </c>
      <c r="B22" s="90"/>
      <c r="C22" s="168">
        <v>478380</v>
      </c>
      <c r="D22" s="166">
        <v>681295</v>
      </c>
      <c r="E22" s="167">
        <v>364995</v>
      </c>
      <c r="F22" s="168">
        <v>400000</v>
      </c>
      <c r="G22" s="166">
        <v>400000</v>
      </c>
      <c r="H22" s="167">
        <f>G22</f>
        <v>400000</v>
      </c>
      <c r="I22" s="168">
        <v>100000</v>
      </c>
      <c r="J22" s="166">
        <f>I22*1.05</f>
        <v>105000</v>
      </c>
      <c r="K22" s="167">
        <f>J22*1.05</f>
        <v>110250</v>
      </c>
    </row>
    <row r="23" spans="1:23" ht="12.75" customHeight="1" x14ac:dyDescent="0.25">
      <c r="A23" s="20" t="s">
        <v>819</v>
      </c>
      <c r="B23" s="90"/>
      <c r="C23" s="168"/>
      <c r="D23" s="166"/>
      <c r="E23" s="167"/>
      <c r="F23" s="168"/>
      <c r="G23" s="166"/>
      <c r="H23" s="167"/>
      <c r="I23" s="168"/>
      <c r="J23" s="166"/>
      <c r="K23" s="167"/>
    </row>
    <row r="24" spans="1:23" ht="12.75" customHeight="1" x14ac:dyDescent="0.25">
      <c r="A24" s="47" t="s">
        <v>152</v>
      </c>
      <c r="B24" s="107"/>
      <c r="C24" s="39">
        <f>SUM(C15:C19)+SUM(C21:C23)</f>
        <v>4739919</v>
      </c>
      <c r="D24" s="38">
        <f t="shared" ref="D24:K24" si="1">SUM(D15:D19)+SUM(D21:D23)</f>
        <v>5072747</v>
      </c>
      <c r="E24" s="84">
        <f t="shared" si="1"/>
        <v>4369154</v>
      </c>
      <c r="F24" s="39">
        <f t="shared" si="1"/>
        <v>497301</v>
      </c>
      <c r="G24" s="38">
        <f t="shared" si="1"/>
        <v>497301</v>
      </c>
      <c r="H24" s="84">
        <f t="shared" si="1"/>
        <v>497301</v>
      </c>
      <c r="I24" s="39">
        <f t="shared" si="1"/>
        <v>225000</v>
      </c>
      <c r="J24" s="38">
        <f t="shared" si="1"/>
        <v>236250</v>
      </c>
      <c r="K24" s="84">
        <f t="shared" si="1"/>
        <v>248062.5</v>
      </c>
      <c r="L24" s="35"/>
      <c r="M24" s="35"/>
      <c r="N24" s="35"/>
      <c r="O24" s="35"/>
      <c r="P24" s="35"/>
      <c r="Q24" s="35"/>
      <c r="R24" s="35"/>
      <c r="S24" s="35"/>
      <c r="T24" s="35"/>
      <c r="U24" s="35"/>
      <c r="V24" s="35"/>
      <c r="W24" s="35"/>
    </row>
    <row r="25" spans="1:23" ht="12.75" customHeight="1" x14ac:dyDescent="0.25">
      <c r="A25" s="47" t="s">
        <v>270</v>
      </c>
      <c r="B25" s="107"/>
      <c r="C25" s="39">
        <f>C12+C24</f>
        <v>21192882</v>
      </c>
      <c r="D25" s="38">
        <f>D12+D24</f>
        <v>24462773</v>
      </c>
      <c r="E25" s="84">
        <f>E12+E24</f>
        <v>20392462</v>
      </c>
      <c r="F25" s="39">
        <f t="shared" ref="F25:K25" si="2">F12+F24</f>
        <v>511301</v>
      </c>
      <c r="G25" s="38">
        <f t="shared" si="2"/>
        <v>511301</v>
      </c>
      <c r="H25" s="84">
        <f t="shared" si="2"/>
        <v>511301</v>
      </c>
      <c r="I25" s="39">
        <f t="shared" si="2"/>
        <v>237000</v>
      </c>
      <c r="J25" s="38">
        <f t="shared" si="2"/>
        <v>248850</v>
      </c>
      <c r="K25" s="84">
        <f t="shared" si="2"/>
        <v>261292.5</v>
      </c>
      <c r="L25" s="35"/>
      <c r="M25" s="35"/>
      <c r="N25" s="35"/>
      <c r="O25" s="35"/>
      <c r="P25" s="35"/>
      <c r="Q25" s="35"/>
      <c r="R25" s="35"/>
      <c r="S25" s="35"/>
      <c r="T25" s="35"/>
      <c r="U25" s="35"/>
      <c r="V25" s="35"/>
      <c r="W25" s="35"/>
    </row>
    <row r="26" spans="1:23" ht="5.0999999999999996" customHeight="1" x14ac:dyDescent="0.25">
      <c r="A26" s="21"/>
      <c r="B26" s="90"/>
      <c r="C26" s="24"/>
      <c r="D26" s="23"/>
      <c r="E26" s="83"/>
      <c r="F26" s="24"/>
      <c r="G26" s="23"/>
      <c r="H26" s="83"/>
      <c r="I26" s="24"/>
      <c r="J26" s="23"/>
      <c r="K26" s="83"/>
    </row>
    <row r="27" spans="1:23" ht="12.75" customHeight="1" x14ac:dyDescent="0.25">
      <c r="A27" s="45" t="s">
        <v>22</v>
      </c>
      <c r="B27" s="90"/>
      <c r="C27" s="24"/>
      <c r="D27" s="23"/>
      <c r="E27" s="83"/>
      <c r="F27" s="24"/>
      <c r="G27" s="23"/>
      <c r="H27" s="83"/>
      <c r="I27" s="24"/>
      <c r="J27" s="23"/>
      <c r="K27" s="83"/>
    </row>
    <row r="28" spans="1:23" ht="12.75" customHeight="1" x14ac:dyDescent="0.25">
      <c r="A28" s="45" t="s">
        <v>83</v>
      </c>
      <c r="B28" s="94"/>
      <c r="C28" s="24"/>
      <c r="D28" s="23"/>
      <c r="E28" s="83"/>
      <c r="F28" s="24"/>
      <c r="G28" s="23"/>
      <c r="H28" s="83"/>
      <c r="I28" s="24"/>
      <c r="J28" s="23"/>
      <c r="K28" s="83"/>
    </row>
    <row r="29" spans="1:23" ht="12.75" customHeight="1" x14ac:dyDescent="0.25">
      <c r="A29" s="20" t="s">
        <v>243</v>
      </c>
      <c r="B29" s="90"/>
      <c r="C29" s="168"/>
      <c r="D29" s="166"/>
      <c r="E29" s="167"/>
      <c r="F29" s="168"/>
      <c r="G29" s="166"/>
      <c r="H29" s="167"/>
      <c r="I29" s="168"/>
      <c r="J29" s="166"/>
      <c r="K29" s="167"/>
    </row>
    <row r="30" spans="1:23" ht="12.75" customHeight="1" x14ac:dyDescent="0.25">
      <c r="A30" s="20" t="s">
        <v>272</v>
      </c>
      <c r="B30" s="90"/>
      <c r="C30" s="168">
        <v>55504</v>
      </c>
      <c r="D30" s="166">
        <v>33719</v>
      </c>
      <c r="E30" s="167">
        <v>4776</v>
      </c>
      <c r="F30" s="168">
        <v>0</v>
      </c>
      <c r="G30" s="166">
        <v>0</v>
      </c>
      <c r="H30" s="167">
        <f>G30</f>
        <v>0</v>
      </c>
      <c r="I30" s="168">
        <v>0</v>
      </c>
      <c r="J30" s="168">
        <v>0</v>
      </c>
      <c r="K30" s="168">
        <v>0</v>
      </c>
    </row>
    <row r="31" spans="1:23" ht="12.75" customHeight="1" x14ac:dyDescent="0.25">
      <c r="A31" s="20" t="s">
        <v>119</v>
      </c>
      <c r="B31" s="90"/>
      <c r="C31" s="168"/>
      <c r="D31" s="166"/>
      <c r="E31" s="167"/>
      <c r="F31" s="168"/>
      <c r="G31" s="166"/>
      <c r="H31" s="167"/>
      <c r="I31" s="168"/>
      <c r="J31" s="168"/>
      <c r="K31" s="168"/>
    </row>
    <row r="32" spans="1:23" ht="12.75" customHeight="1" x14ac:dyDescent="0.25">
      <c r="A32" s="20" t="s">
        <v>278</v>
      </c>
      <c r="B32" s="90"/>
      <c r="C32" s="168">
        <v>8840248</v>
      </c>
      <c r="D32" s="166">
        <f>1167819+7895408</f>
        <v>9063227</v>
      </c>
      <c r="E32" s="167">
        <v>11879058</v>
      </c>
      <c r="F32" s="168">
        <v>0</v>
      </c>
      <c r="G32" s="166">
        <v>0</v>
      </c>
      <c r="H32" s="167">
        <f>G32</f>
        <v>0</v>
      </c>
      <c r="I32" s="168">
        <v>0</v>
      </c>
      <c r="J32" s="168">
        <v>0</v>
      </c>
      <c r="K32" s="168">
        <v>0</v>
      </c>
    </row>
    <row r="33" spans="1:23" ht="12.75" customHeight="1" x14ac:dyDescent="0.25">
      <c r="A33" s="20" t="s">
        <v>84</v>
      </c>
      <c r="B33" s="90">
        <v>3</v>
      </c>
      <c r="C33" s="168"/>
      <c r="D33" s="166"/>
      <c r="E33" s="167"/>
      <c r="F33" s="168"/>
      <c r="G33" s="166"/>
      <c r="H33" s="167"/>
      <c r="I33" s="168"/>
      <c r="J33" s="166"/>
      <c r="K33" s="167"/>
    </row>
    <row r="34" spans="1:23" ht="12.75" customHeight="1" x14ac:dyDescent="0.25">
      <c r="A34" s="47" t="s">
        <v>25</v>
      </c>
      <c r="B34" s="107"/>
      <c r="C34" s="39">
        <f t="shared" ref="C34:K34" si="3">SUM(C29:C33)</f>
        <v>8895752</v>
      </c>
      <c r="D34" s="38">
        <f t="shared" si="3"/>
        <v>9096946</v>
      </c>
      <c r="E34" s="84">
        <f t="shared" si="3"/>
        <v>11883834</v>
      </c>
      <c r="F34" s="39">
        <f t="shared" si="3"/>
        <v>0</v>
      </c>
      <c r="G34" s="38">
        <f t="shared" si="3"/>
        <v>0</v>
      </c>
      <c r="H34" s="84">
        <f t="shared" si="3"/>
        <v>0</v>
      </c>
      <c r="I34" s="39">
        <f t="shared" si="3"/>
        <v>0</v>
      </c>
      <c r="J34" s="38">
        <f t="shared" si="3"/>
        <v>0</v>
      </c>
      <c r="K34" s="84">
        <f t="shared" si="3"/>
        <v>0</v>
      </c>
      <c r="L34" s="35"/>
      <c r="M34" s="35"/>
      <c r="N34" s="35"/>
      <c r="O34" s="35"/>
      <c r="P34" s="35"/>
      <c r="Q34" s="35"/>
      <c r="R34" s="35"/>
      <c r="S34" s="35"/>
      <c r="T34" s="35"/>
      <c r="U34" s="35"/>
      <c r="V34" s="35"/>
      <c r="W34" s="35"/>
    </row>
    <row r="35" spans="1:23" ht="5.0999999999999996" customHeight="1" x14ac:dyDescent="0.25">
      <c r="A35" s="21"/>
      <c r="B35" s="90"/>
      <c r="C35" s="24"/>
      <c r="D35" s="23"/>
      <c r="E35" s="83"/>
      <c r="F35" s="24"/>
      <c r="G35" s="23"/>
      <c r="H35" s="83"/>
      <c r="I35" s="24"/>
      <c r="J35" s="23"/>
      <c r="K35" s="83"/>
    </row>
    <row r="36" spans="1:23" ht="12.75" customHeight="1" x14ac:dyDescent="0.25">
      <c r="A36" s="45" t="s">
        <v>23</v>
      </c>
      <c r="B36" s="90"/>
      <c r="C36" s="24"/>
      <c r="D36" s="23"/>
      <c r="E36" s="83"/>
      <c r="F36" s="24"/>
      <c r="G36" s="23"/>
      <c r="H36" s="83"/>
      <c r="I36" s="24"/>
      <c r="J36" s="23"/>
      <c r="K36" s="83"/>
    </row>
    <row r="37" spans="1:23" ht="12.75" customHeight="1" x14ac:dyDescent="0.25">
      <c r="A37" s="20" t="s">
        <v>272</v>
      </c>
      <c r="B37" s="90"/>
      <c r="C37" s="168"/>
      <c r="D37" s="166">
        <v>7125</v>
      </c>
      <c r="E37" s="167"/>
      <c r="F37" s="168"/>
      <c r="G37" s="166"/>
      <c r="H37" s="167"/>
      <c r="I37" s="168"/>
      <c r="J37" s="166"/>
      <c r="K37" s="167"/>
    </row>
    <row r="38" spans="1:23" ht="12.75" customHeight="1" x14ac:dyDescent="0.25">
      <c r="A38" s="20" t="s">
        <v>84</v>
      </c>
      <c r="B38" s="90">
        <v>3</v>
      </c>
      <c r="C38" s="168"/>
      <c r="D38" s="166"/>
      <c r="E38" s="167"/>
      <c r="F38" s="168"/>
      <c r="G38" s="166"/>
      <c r="H38" s="167"/>
      <c r="I38" s="168"/>
      <c r="J38" s="166"/>
      <c r="K38" s="167"/>
    </row>
    <row r="39" spans="1:23" ht="12.75" customHeight="1" x14ac:dyDescent="0.25">
      <c r="A39" s="47" t="s">
        <v>24</v>
      </c>
      <c r="B39" s="107"/>
      <c r="C39" s="110">
        <f>SUM(C37:C38)</f>
        <v>0</v>
      </c>
      <c r="D39" s="113">
        <f>SUM(D37:D38)</f>
        <v>7125</v>
      </c>
      <c r="E39" s="84">
        <f>SUM(E37:E38)</f>
        <v>0</v>
      </c>
      <c r="F39" s="39">
        <f t="shared" ref="F39:K39" si="4">SUM(F37:F38)</f>
        <v>0</v>
      </c>
      <c r="G39" s="38">
        <f t="shared" si="4"/>
        <v>0</v>
      </c>
      <c r="H39" s="84">
        <f t="shared" si="4"/>
        <v>0</v>
      </c>
      <c r="I39" s="39">
        <f t="shared" si="4"/>
        <v>0</v>
      </c>
      <c r="J39" s="38">
        <f t="shared" si="4"/>
        <v>0</v>
      </c>
      <c r="K39" s="84">
        <f t="shared" si="4"/>
        <v>0</v>
      </c>
      <c r="L39" s="35"/>
      <c r="M39" s="35"/>
      <c r="N39" s="35"/>
      <c r="O39" s="35"/>
      <c r="P39" s="35"/>
      <c r="Q39" s="35"/>
      <c r="R39" s="35"/>
      <c r="S39" s="35"/>
      <c r="T39" s="35"/>
      <c r="U39" s="35"/>
      <c r="V39" s="35"/>
      <c r="W39" s="35"/>
    </row>
    <row r="40" spans="1:23" ht="12.75" customHeight="1" x14ac:dyDescent="0.25">
      <c r="A40" s="47" t="s">
        <v>415</v>
      </c>
      <c r="B40" s="107"/>
      <c r="C40" s="39">
        <f>C34+C39</f>
        <v>8895752</v>
      </c>
      <c r="D40" s="38">
        <f>D34+D39</f>
        <v>9104071</v>
      </c>
      <c r="E40" s="84">
        <f>E34+E39</f>
        <v>11883834</v>
      </c>
      <c r="F40" s="39">
        <f t="shared" ref="F40:K40" si="5">F34+F39</f>
        <v>0</v>
      </c>
      <c r="G40" s="38">
        <f t="shared" si="5"/>
        <v>0</v>
      </c>
      <c r="H40" s="84">
        <f t="shared" si="5"/>
        <v>0</v>
      </c>
      <c r="I40" s="39">
        <f t="shared" si="5"/>
        <v>0</v>
      </c>
      <c r="J40" s="38">
        <f t="shared" si="5"/>
        <v>0</v>
      </c>
      <c r="K40" s="84">
        <f t="shared" si="5"/>
        <v>0</v>
      </c>
      <c r="L40" s="35"/>
      <c r="M40" s="35"/>
      <c r="N40" s="35"/>
      <c r="O40" s="35"/>
      <c r="P40" s="35"/>
      <c r="Q40" s="35"/>
      <c r="R40" s="35"/>
      <c r="S40" s="35"/>
      <c r="T40" s="35"/>
      <c r="U40" s="35"/>
      <c r="V40" s="35"/>
      <c r="W40" s="35"/>
    </row>
    <row r="41" spans="1:23" ht="5.0999999999999996" customHeight="1" x14ac:dyDescent="0.25">
      <c r="A41" s="21"/>
      <c r="B41" s="90"/>
      <c r="C41" s="24"/>
      <c r="D41" s="23"/>
      <c r="E41" s="83"/>
      <c r="F41" s="24"/>
      <c r="G41" s="23"/>
      <c r="H41" s="83"/>
      <c r="I41" s="24"/>
      <c r="J41" s="23"/>
      <c r="K41" s="83"/>
    </row>
    <row r="42" spans="1:23" ht="12.75" customHeight="1" x14ac:dyDescent="0.25">
      <c r="A42" s="236" t="s">
        <v>269</v>
      </c>
      <c r="B42" s="111">
        <v>2</v>
      </c>
      <c r="C42" s="308">
        <f t="shared" ref="C42:K42" si="6">C25-C40</f>
        <v>12297130</v>
      </c>
      <c r="D42" s="309">
        <f t="shared" si="6"/>
        <v>15358702</v>
      </c>
      <c r="E42" s="310">
        <f t="shared" si="6"/>
        <v>8508628</v>
      </c>
      <c r="F42" s="308">
        <f t="shared" si="6"/>
        <v>511301</v>
      </c>
      <c r="G42" s="309">
        <f t="shared" si="6"/>
        <v>511301</v>
      </c>
      <c r="H42" s="310">
        <f t="shared" si="6"/>
        <v>511301</v>
      </c>
      <c r="I42" s="308">
        <f t="shared" si="6"/>
        <v>237000</v>
      </c>
      <c r="J42" s="309">
        <f t="shared" si="6"/>
        <v>248850</v>
      </c>
      <c r="K42" s="310">
        <f t="shared" si="6"/>
        <v>261292.5</v>
      </c>
      <c r="L42" s="35"/>
      <c r="M42" s="35"/>
      <c r="N42" s="35"/>
      <c r="O42" s="35"/>
      <c r="P42" s="35"/>
      <c r="Q42" s="35"/>
      <c r="R42" s="35"/>
      <c r="S42" s="35"/>
      <c r="T42" s="35"/>
      <c r="U42" s="35"/>
      <c r="V42" s="35"/>
      <c r="W42" s="35"/>
    </row>
    <row r="43" spans="1:23" ht="5.0999999999999996" customHeight="1" x14ac:dyDescent="0.25">
      <c r="A43" s="21"/>
      <c r="B43" s="90"/>
      <c r="C43" s="24"/>
      <c r="D43" s="23"/>
      <c r="E43" s="83"/>
      <c r="F43" s="24"/>
      <c r="G43" s="23"/>
      <c r="H43" s="83"/>
      <c r="I43" s="24"/>
      <c r="J43" s="23"/>
      <c r="K43" s="83"/>
    </row>
    <row r="44" spans="1:23" ht="12.75" customHeight="1" x14ac:dyDescent="0.25">
      <c r="A44" s="45" t="s">
        <v>154</v>
      </c>
      <c r="B44" s="90"/>
      <c r="C44" s="24"/>
      <c r="D44" s="23"/>
      <c r="E44" s="83"/>
      <c r="F44" s="24"/>
      <c r="G44" s="23"/>
      <c r="H44" s="83"/>
      <c r="I44" s="24"/>
      <c r="J44" s="23"/>
      <c r="K44" s="83"/>
    </row>
    <row r="45" spans="1:23" ht="12.75" customHeight="1" x14ac:dyDescent="0.25">
      <c r="A45" s="20" t="s">
        <v>102</v>
      </c>
      <c r="B45" s="90"/>
      <c r="C45" s="168">
        <v>12296773</v>
      </c>
      <c r="D45" s="166">
        <v>15358702</v>
      </c>
      <c r="E45" s="167">
        <v>8508628</v>
      </c>
      <c r="F45" s="239">
        <v>511000</v>
      </c>
      <c r="G45" s="166">
        <v>511000</v>
      </c>
      <c r="H45" s="167">
        <f>G45</f>
        <v>511000</v>
      </c>
      <c r="I45" s="168">
        <v>237000</v>
      </c>
      <c r="J45" s="166">
        <f>I45*1.05</f>
        <v>248850</v>
      </c>
      <c r="K45" s="167">
        <f>J45*1.05</f>
        <v>261292.5</v>
      </c>
    </row>
    <row r="46" spans="1:23" ht="12.75" customHeight="1" x14ac:dyDescent="0.25">
      <c r="A46" s="20" t="s">
        <v>345</v>
      </c>
      <c r="B46" s="90"/>
      <c r="C46" s="168"/>
      <c r="D46" s="166"/>
      <c r="E46" s="167"/>
      <c r="F46" s="168"/>
      <c r="G46" s="166"/>
      <c r="H46" s="167"/>
      <c r="I46" s="168"/>
      <c r="J46" s="166"/>
      <c r="K46" s="167"/>
    </row>
    <row r="47" spans="1:23" ht="0.95" customHeight="1" x14ac:dyDescent="0.25">
      <c r="A47" s="20"/>
      <c r="B47" s="90"/>
      <c r="C47" s="24"/>
      <c r="D47" s="23"/>
      <c r="E47" s="83"/>
      <c r="F47" s="24"/>
      <c r="G47" s="23"/>
      <c r="H47" s="83"/>
      <c r="I47" s="24"/>
      <c r="J47" s="23"/>
      <c r="K47" s="83"/>
    </row>
    <row r="48" spans="1:23" ht="12.75" customHeight="1" x14ac:dyDescent="0.25">
      <c r="A48" s="28" t="s">
        <v>147</v>
      </c>
      <c r="B48" s="109">
        <v>2</v>
      </c>
      <c r="C48" s="30">
        <f>SUM(C45:C46)</f>
        <v>12296773</v>
      </c>
      <c r="D48" s="29">
        <f t="shared" ref="D48:K48" si="7">SUM(D45:D46)</f>
        <v>15358702</v>
      </c>
      <c r="E48" s="108">
        <f t="shared" si="7"/>
        <v>8508628</v>
      </c>
      <c r="F48" s="30">
        <f t="shared" si="7"/>
        <v>511000</v>
      </c>
      <c r="G48" s="29">
        <f t="shared" si="7"/>
        <v>511000</v>
      </c>
      <c r="H48" s="108">
        <f t="shared" si="7"/>
        <v>511000</v>
      </c>
      <c r="I48" s="30">
        <f t="shared" si="7"/>
        <v>237000</v>
      </c>
      <c r="J48" s="29">
        <f t="shared" si="7"/>
        <v>248850</v>
      </c>
      <c r="K48" s="108">
        <f t="shared" si="7"/>
        <v>261292.5</v>
      </c>
      <c r="L48" s="35"/>
      <c r="M48" s="35"/>
      <c r="N48" s="35"/>
      <c r="O48" s="35"/>
      <c r="P48" s="35"/>
      <c r="Q48" s="35"/>
      <c r="R48" s="35"/>
      <c r="S48" s="35"/>
      <c r="T48" s="35"/>
      <c r="U48" s="35"/>
      <c r="V48" s="35"/>
      <c r="W48" s="35"/>
    </row>
    <row r="49" spans="1:11" ht="12.75" customHeight="1" x14ac:dyDescent="0.25">
      <c r="A49" s="31" t="s">
        <v>165</v>
      </c>
      <c r="C49" s="35"/>
      <c r="D49" s="35"/>
      <c r="E49" s="35"/>
      <c r="F49" s="35"/>
      <c r="G49" s="35"/>
      <c r="H49" s="35"/>
      <c r="I49" s="35"/>
      <c r="J49" s="35"/>
      <c r="K49" s="35"/>
    </row>
    <row r="50" spans="1:11" ht="12.75" customHeight="1" x14ac:dyDescent="0.25">
      <c r="A50" s="41" t="s">
        <v>539</v>
      </c>
      <c r="B50" s="41"/>
      <c r="C50" s="41"/>
      <c r="D50" s="41"/>
      <c r="E50" s="41"/>
      <c r="F50" s="41"/>
      <c r="G50" s="41"/>
      <c r="H50" s="41"/>
      <c r="I50" s="41"/>
      <c r="J50" s="41"/>
      <c r="K50" s="41"/>
    </row>
    <row r="51" spans="1:11" ht="12.75" customHeight="1" x14ac:dyDescent="0.25">
      <c r="A51" s="41" t="s">
        <v>540</v>
      </c>
      <c r="B51" s="36"/>
      <c r="C51" s="42"/>
      <c r="D51" s="42"/>
      <c r="E51" s="40"/>
      <c r="F51" s="40"/>
      <c r="G51" s="40"/>
      <c r="H51" s="40"/>
      <c r="I51" s="40"/>
      <c r="J51" s="40"/>
      <c r="K51" s="40"/>
    </row>
    <row r="52" spans="1:11" ht="12.75" customHeight="1" x14ac:dyDescent="0.25">
      <c r="A52" s="33" t="s">
        <v>328</v>
      </c>
      <c r="B52" s="36"/>
      <c r="C52" s="42"/>
      <c r="D52" s="42"/>
      <c r="E52" s="40"/>
      <c r="F52" s="40"/>
      <c r="G52" s="40"/>
      <c r="H52" s="40"/>
      <c r="I52" s="40"/>
      <c r="J52" s="40"/>
      <c r="K52" s="40"/>
    </row>
    <row r="53" spans="1:11" ht="11.25" customHeight="1" x14ac:dyDescent="0.25">
      <c r="A53" s="37" t="s">
        <v>232</v>
      </c>
      <c r="B53" s="36"/>
      <c r="C53" s="81" t="str">
        <f>IF((C42-C48)=0,0,"Unbalanced")</f>
        <v>Unbalanced</v>
      </c>
      <c r="D53" s="57">
        <f t="shared" ref="D53:K53" si="8">IF((D42-D48)=0,0,"Unbalanced")</f>
        <v>0</v>
      </c>
      <c r="E53" s="57">
        <f t="shared" si="8"/>
        <v>0</v>
      </c>
      <c r="F53" s="57" t="str">
        <f t="shared" si="8"/>
        <v>Unbalanced</v>
      </c>
      <c r="G53" s="97" t="str">
        <f t="shared" si="8"/>
        <v>Unbalanced</v>
      </c>
      <c r="H53" s="57" t="str">
        <f t="shared" si="8"/>
        <v>Unbalanced</v>
      </c>
      <c r="I53" s="57">
        <f t="shared" si="8"/>
        <v>0</v>
      </c>
      <c r="J53" s="57">
        <f t="shared" si="8"/>
        <v>0</v>
      </c>
      <c r="K53" s="57">
        <f t="shared" si="8"/>
        <v>0</v>
      </c>
    </row>
    <row r="54" spans="1:11" ht="11.25" customHeight="1" x14ac:dyDescent="0.25">
      <c r="B54" s="17"/>
    </row>
    <row r="55" spans="1:11" ht="11.25" customHeight="1" x14ac:dyDescent="0.25">
      <c r="B55" s="17"/>
    </row>
    <row r="56" spans="1:11" ht="11.25" customHeight="1" x14ac:dyDescent="0.25">
      <c r="B56" s="17"/>
    </row>
    <row r="57" spans="1:11" ht="11.25" customHeight="1" x14ac:dyDescent="0.25">
      <c r="B57" s="17"/>
    </row>
    <row r="58" spans="1:11" ht="11.25" customHeight="1" x14ac:dyDescent="0.25">
      <c r="B58" s="17"/>
    </row>
    <row r="59" spans="1:11" ht="11.25" customHeight="1" x14ac:dyDescent="0.25"/>
    <row r="60" spans="1:11" ht="11.25" customHeight="1" x14ac:dyDescent="0.25"/>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sheetData>
  <sheetProtection password="A35B" sheet="1" objects="1" scenarios="1"/>
  <mergeCells count="1">
    <mergeCell ref="F2:H2"/>
  </mergeCells>
  <phoneticPr fontId="2" type="noConversion"/>
  <conditionalFormatting sqref="C53">
    <cfRule type="cellIs" dxfId="0" priority="1" stopIfTrue="1" operator="notEqual">
      <formula>0</formula>
    </cfRule>
  </conditionalFormatting>
  <printOptions horizontalCentered="1"/>
  <pageMargins left="0.35433070866141736" right="0.15748031496062992" top="0.78740157480314965" bottom="0.59055118110236227" header="0.51181102362204722" footer="0.39370078740157483"/>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144</vt:i4>
      </vt:variant>
    </vt:vector>
  </HeadingPairs>
  <TitlesOfParts>
    <vt:vector size="165" baseType="lpstr">
      <vt:lpstr>START</vt:lpstr>
      <vt:lpstr>Instructions</vt:lpstr>
      <vt:lpstr>D1-Sum</vt:lpstr>
      <vt:lpstr>D2-FinPerf</vt:lpstr>
      <vt:lpstr>D3-Capex</vt:lpstr>
      <vt:lpstr>D4-FinPos</vt:lpstr>
      <vt:lpstr>D5-CFlow</vt:lpstr>
      <vt:lpstr>SD1</vt:lpstr>
      <vt:lpstr>SD2</vt:lpstr>
      <vt:lpstr>SD3</vt:lpstr>
      <vt:lpstr>SD4</vt:lpstr>
      <vt:lpstr>SD5</vt:lpstr>
      <vt:lpstr>SD6</vt:lpstr>
      <vt:lpstr>SD7a</vt:lpstr>
      <vt:lpstr>SD7b</vt:lpstr>
      <vt:lpstr>SD7c</vt:lpstr>
      <vt:lpstr>SD7d</vt:lpstr>
      <vt:lpstr>SD7e</vt:lpstr>
      <vt:lpstr>SD8</vt:lpstr>
      <vt:lpstr>SD9</vt:lpstr>
      <vt:lpstr>SD10</vt:lpstr>
      <vt:lpstr>_MEB1</vt:lpstr>
      <vt:lpstr>_MEB10</vt:lpstr>
      <vt:lpstr>_MEB11</vt:lpstr>
      <vt:lpstr>_MEB12</vt:lpstr>
      <vt:lpstr>_MEB13</vt:lpstr>
      <vt:lpstr>_MEB2</vt:lpstr>
      <vt:lpstr>_MEB3</vt:lpstr>
      <vt:lpstr>_MEB4</vt:lpstr>
      <vt:lpstr>_MEB5</vt:lpstr>
      <vt:lpstr>_MEB6</vt:lpstr>
      <vt:lpstr>_MEB7</vt:lpstr>
      <vt:lpstr>_MEB8</vt:lpstr>
      <vt:lpstr>_MEB9</vt:lpstr>
      <vt:lpstr>Asset_Class</vt:lpstr>
      <vt:lpstr>asset_class1</vt:lpstr>
      <vt:lpstr>Asset_sub_class</vt:lpstr>
      <vt:lpstr>asset_subclass1</vt:lpstr>
      <vt:lpstr>basedesc</vt:lpstr>
      <vt:lpstr>Cash1</vt:lpstr>
      <vt:lpstr>Cash2</vt:lpstr>
      <vt:lpstr>desc</vt:lpstr>
      <vt:lpstr>entity</vt:lpstr>
      <vt:lpstr>entityshort</vt:lpstr>
      <vt:lpstr>fdil</vt:lpstr>
      <vt:lpstr>Instructions!FinYear</vt:lpstr>
      <vt:lpstr>GrantNatCapex</vt:lpstr>
      <vt:lpstr>GrantNatOpex</vt:lpstr>
      <vt:lpstr>GrantProvCapex</vt:lpstr>
      <vt:lpstr>GrantProvOpex</vt:lpstr>
      <vt:lpstr>Head1</vt:lpstr>
      <vt:lpstr>Head10</vt:lpstr>
      <vt:lpstr>Head11</vt:lpstr>
      <vt:lpstr>Head12</vt:lpstr>
      <vt:lpstr>Head13</vt:lpstr>
      <vt:lpstr>Head14</vt:lpstr>
      <vt:lpstr>Head15</vt:lpstr>
      <vt:lpstr>Head16</vt:lpstr>
      <vt:lpstr>Head17</vt:lpstr>
      <vt:lpstr>Head18</vt:lpstr>
      <vt:lpstr>Head19</vt:lpstr>
      <vt:lpstr>head1A</vt:lpstr>
      <vt:lpstr>head1b</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Head3a</vt:lpstr>
      <vt:lpstr>Head4</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IUDF</vt:lpstr>
      <vt:lpstr>List1</vt:lpstr>
      <vt:lpstr>List2</vt:lpstr>
      <vt:lpstr>List3</vt:lpstr>
      <vt:lpstr>List4</vt:lpstr>
      <vt:lpstr>List5</vt:lpstr>
      <vt:lpstr>List6</vt:lpstr>
      <vt:lpstr>List7</vt:lpstr>
      <vt:lpstr>List8</vt:lpstr>
      <vt:lpstr>MEB1A</vt:lpstr>
      <vt:lpstr>MEB5a</vt:lpstr>
      <vt:lpstr>MEB5b</vt:lpstr>
      <vt:lpstr>MEB9a</vt:lpstr>
      <vt:lpstr>MEB9b</vt:lpstr>
      <vt:lpstr>MEB9c</vt:lpstr>
      <vt:lpstr>MEB9d</vt:lpstr>
      <vt:lpstr>MEB9e</vt:lpstr>
      <vt:lpstr>MEBsum</vt:lpstr>
      <vt:lpstr>Instructions!MTREF</vt:lpstr>
      <vt:lpstr>MTREF</vt:lpstr>
      <vt:lpstr>MTSF</vt:lpstr>
      <vt:lpstr>muni</vt:lpstr>
      <vt:lpstr>'D1-Sum'!Print_Area</vt:lpstr>
      <vt:lpstr>'D2-FinPerf'!Print_Area</vt:lpstr>
      <vt:lpstr>'D4-FinPos'!Print_Area</vt:lpstr>
      <vt:lpstr>'D5-CFlow'!Print_Area</vt:lpstr>
      <vt:lpstr>Instructions!Print_Area</vt:lpstr>
      <vt:lpstr>'SD1'!Print_Area</vt:lpstr>
      <vt:lpstr>'SD10'!Print_Area</vt:lpstr>
      <vt:lpstr>'SD2'!Print_Area</vt:lpstr>
      <vt:lpstr>'SD3'!Print_Area</vt:lpstr>
      <vt:lpstr>'SD4'!Print_Area</vt:lpstr>
      <vt:lpstr>'SD6'!Print_Area</vt:lpstr>
      <vt:lpstr>SD7a!Print_Area</vt:lpstr>
      <vt:lpstr>SD7b!Print_Area</vt:lpstr>
      <vt:lpstr>SD7c!Print_Area</vt:lpstr>
      <vt:lpstr>SD7d!Print_Area</vt:lpstr>
      <vt:lpstr>SD7e!Print_Area</vt:lpstr>
      <vt:lpstr>'SD8'!Print_Area</vt:lpstr>
      <vt:lpstr>'SD9'!Print_Area</vt:lpstr>
      <vt:lpstr>RandM</vt:lpstr>
      <vt:lpstr>result</vt:lpstr>
      <vt:lpstr>SFPerf1</vt:lpstr>
      <vt:lpstr>SFPerf2</vt:lpstr>
      <vt:lpstr>SFpos1</vt:lpstr>
      <vt:lpstr>SFpos2</vt:lpstr>
      <vt:lpstr>Table24</vt:lpstr>
      <vt:lpstr>TableA24</vt:lpstr>
      <vt:lpstr>TableD7</vt:lpstr>
      <vt:lpstr>TableD8</vt:lpstr>
      <vt:lpstr>Vdesc</vt:lpstr>
    </vt:vector>
  </TitlesOfParts>
  <Company>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lastModifiedBy>Jody Frank</cp:lastModifiedBy>
  <cp:lastPrinted>2015-03-02T13:45:05Z</cp:lastPrinted>
  <dcterms:created xsi:type="dcterms:W3CDTF">2004-04-07T16:19:08Z</dcterms:created>
  <dcterms:modified xsi:type="dcterms:W3CDTF">2019-04-04T09:13:32Z</dcterms:modified>
</cp:coreProperties>
</file>